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71" activeTab="0"/>
  </bookViews>
  <sheets>
    <sheet name="Exploitatie MFC" sheetId="1" r:id="rId1"/>
    <sheet name="Oppervlaktes" sheetId="2" r:id="rId2"/>
    <sheet name="KPD Huur" sheetId="3" r:id="rId3"/>
    <sheet name="Huurinkomsten" sheetId="4" r:id="rId4"/>
    <sheet name="Servicekosten" sheetId="5" r:id="rId5"/>
    <sheet name="Tot Overzicht" sheetId="6" r:id="rId6"/>
    <sheet name="Analyse" sheetId="7" r:id="rId7"/>
    <sheet name="1" sheetId="8" r:id="rId8"/>
    <sheet name="2" sheetId="9" r:id="rId9"/>
    <sheet name="3" sheetId="10" r:id="rId10"/>
    <sheet name="3A" sheetId="11" r:id="rId11"/>
    <sheet name="4" sheetId="12" r:id="rId12"/>
    <sheet name="5" sheetId="13" r:id="rId13"/>
    <sheet name="6" sheetId="14" r:id="rId14"/>
    <sheet name="7" sheetId="15" r:id="rId15"/>
    <sheet name="8" sheetId="16" r:id="rId16"/>
    <sheet name="9" sheetId="17" r:id="rId17"/>
    <sheet name="10" sheetId="18" r:id="rId18"/>
    <sheet name="10A" sheetId="19" r:id="rId19"/>
    <sheet name="11" sheetId="20" r:id="rId20"/>
    <sheet name="11A" sheetId="21" r:id="rId21"/>
    <sheet name="12" sheetId="22" r:id="rId22"/>
    <sheet name="14" sheetId="23" r:id="rId23"/>
    <sheet name="15" sheetId="24" r:id="rId24"/>
    <sheet name="16" sheetId="25" r:id="rId25"/>
    <sheet name="17" sheetId="26" r:id="rId26"/>
    <sheet name="18" sheetId="27" r:id="rId27"/>
    <sheet name="21" sheetId="28" r:id="rId28"/>
  </sheets>
  <definedNames>
    <definedName name="_xlnm._FilterDatabase" localSheetId="20" hidden="1">'11A'!$A$5:$F$39</definedName>
    <definedName name="_xlnm.Print_Area" localSheetId="0">'Exploitatie MFC'!$A$1:$I$105</definedName>
    <definedName name="_xlnm.Print_Area" localSheetId="5">'Tot Overzicht'!$A$1:$K$28</definedName>
  </definedNames>
  <calcPr fullCalcOnLoad="1"/>
</workbook>
</file>

<file path=xl/comments10.xml><?xml version="1.0" encoding="utf-8"?>
<comments xmlns="http://schemas.openxmlformats.org/spreadsheetml/2006/main">
  <authors>
    <author>ginkeln</author>
  </authors>
  <commentList>
    <comment ref="G9" authorId="0">
      <text>
        <r>
          <rPr>
            <b/>
            <sz val="8"/>
            <rFont val="Tahoma"/>
            <family val="2"/>
          </rPr>
          <t>ginkeln:</t>
        </r>
        <r>
          <rPr>
            <sz val="8"/>
            <rFont val="Tahoma"/>
            <family val="2"/>
          </rPr>
          <t xml:space="preserve">
Bolwerk 19,5 vervuilingseenheden Oppervlakte 1871 m2 BVO</t>
        </r>
      </text>
    </comment>
  </commentList>
</comments>
</file>

<file path=xl/comments12.xml><?xml version="1.0" encoding="utf-8"?>
<comments xmlns="http://schemas.openxmlformats.org/spreadsheetml/2006/main">
  <authors>
    <author>N. van Ginkel</author>
    <author>ginkeln</author>
  </authors>
  <commentList>
    <comment ref="C4" authorId="0">
      <text>
        <r>
          <rPr>
            <b/>
            <sz val="8"/>
            <rFont val="Tahoma"/>
            <family val="2"/>
          </rPr>
          <t>N. van Ginkel:</t>
        </r>
        <r>
          <rPr>
            <sz val="8"/>
            <rFont val="Tahoma"/>
            <family val="2"/>
          </rPr>
          <t xml:space="preserve">
Opstalverzekering 1,22 promille per 100 euro - Bron Marlou Stollé - Via Kees Jongejan
</t>
        </r>
      </text>
    </comment>
    <comment ref="C5" authorId="1">
      <text>
        <r>
          <rPr>
            <b/>
            <sz val="8"/>
            <rFont val="Tahoma"/>
            <family val="2"/>
          </rPr>
          <t>ginkeln:</t>
        </r>
        <r>
          <rPr>
            <sz val="8"/>
            <rFont val="Tahoma"/>
            <family val="2"/>
          </rPr>
          <t xml:space="preserve">
Inboedelverzekering 1,2 promille per 1000 euro - Bron Marlou Stollé - Via Kees Jongejan</t>
        </r>
      </text>
    </comment>
  </commentList>
</comments>
</file>

<file path=xl/comments17.xml><?xml version="1.0" encoding="utf-8"?>
<comments xmlns="http://schemas.openxmlformats.org/spreadsheetml/2006/main">
  <authors>
    <author>ginkeln</author>
  </authors>
  <commentList>
    <comment ref="B7" authorId="0">
      <text>
        <r>
          <rPr>
            <b/>
            <sz val="8"/>
            <rFont val="Tahoma"/>
            <family val="2"/>
          </rPr>
          <t xml:space="preserve">ginkeln:
</t>
        </r>
        <r>
          <rPr>
            <sz val="8"/>
            <rFont val="Tahoma"/>
            <family val="2"/>
          </rPr>
          <t>Prijzen doorgekregen van Fred Brouwer op 22-01-2007
Aanschaf € 15.000 - € 20.000
Onderhoud traditionele installatie € 1000 per jaar
Onderhoud VOIP centrale € 2500 per jaar
€ 22,50 per mutatie (eerste kwartier)
+ eenmalige kosten KPN</t>
        </r>
      </text>
    </comment>
  </commentList>
</comments>
</file>

<file path=xl/comments18.xml><?xml version="1.0" encoding="utf-8"?>
<comments xmlns="http://schemas.openxmlformats.org/spreadsheetml/2006/main">
  <authors>
    <author>ginkeln</author>
  </authors>
  <commentList>
    <comment ref="B7" authorId="0">
      <text>
        <r>
          <rPr>
            <b/>
            <sz val="8"/>
            <rFont val="Tahoma"/>
            <family val="2"/>
          </rPr>
          <t>ginkeln:</t>
        </r>
        <r>
          <rPr>
            <sz val="8"/>
            <rFont val="Tahoma"/>
            <family val="2"/>
          </rPr>
          <t xml:space="preserve">
Prijzen 22-01-2007 van Fred Brouwer (Mulder Connnect)
€ 2500 per kast, benodigd  6 kasten - € 15000
€ 1500 onderhoud per jaar
+ Eenmalige kosten glasvezelaansluiting</t>
        </r>
      </text>
    </comment>
  </commentList>
</comments>
</file>

<file path=xl/comments21.xml><?xml version="1.0" encoding="utf-8"?>
<comments xmlns="http://schemas.openxmlformats.org/spreadsheetml/2006/main">
  <authors>
    <author>muldere</author>
  </authors>
  <commentList>
    <comment ref="D30" authorId="0">
      <text>
        <r>
          <rPr>
            <b/>
            <sz val="8"/>
            <rFont val="Tahoma"/>
            <family val="2"/>
          </rPr>
          <t>muldere:</t>
        </r>
        <r>
          <rPr>
            <sz val="8"/>
            <rFont val="Tahoma"/>
            <family val="2"/>
          </rPr>
          <t xml:space="preserve">
keukeninrichting 
€ 34.040,- ; apparatuur onder bar € 5.000,-
</t>
        </r>
      </text>
    </comment>
    <comment ref="D31" authorId="0">
      <text>
        <r>
          <rPr>
            <b/>
            <sz val="8"/>
            <rFont val="Tahoma"/>
            <family val="2"/>
          </rPr>
          <t xml:space="preserve">servies, pannen, bestek, borden, soep- kommen, dienbladen, serveerschalen,  snij-planken etc.
</t>
        </r>
      </text>
    </comment>
  </commentList>
</comments>
</file>

<file path=xl/comments23.xml><?xml version="1.0" encoding="utf-8"?>
<comments xmlns="http://schemas.openxmlformats.org/spreadsheetml/2006/main">
  <authors>
    <author>ginkeln</author>
  </authors>
  <commentList>
    <comment ref="A28" authorId="0">
      <text>
        <r>
          <rPr>
            <b/>
            <sz val="8"/>
            <rFont val="Tahoma"/>
            <family val="2"/>
          </rPr>
          <t>ginkeln:</t>
        </r>
        <r>
          <rPr>
            <sz val="8"/>
            <rFont val="Tahoma"/>
            <family val="2"/>
          </rPr>
          <t xml:space="preserve">
Indexering ministerie - Bekostigingsstelsel Primair Onderwijs</t>
        </r>
      </text>
    </comment>
  </commentList>
</comments>
</file>

<file path=xl/comments24.xml><?xml version="1.0" encoding="utf-8"?>
<comments xmlns="http://schemas.openxmlformats.org/spreadsheetml/2006/main">
  <authors>
    <author>ginkeln</author>
  </authors>
  <commentList>
    <comment ref="A27" authorId="0">
      <text>
        <r>
          <rPr>
            <b/>
            <sz val="8"/>
            <rFont val="Tahoma"/>
            <family val="2"/>
          </rPr>
          <t>ginkeln:</t>
        </r>
        <r>
          <rPr>
            <sz val="8"/>
            <rFont val="Tahoma"/>
            <family val="2"/>
          </rPr>
          <t xml:space="preserve">
Indexering ministerie - Bekostigingsstelsel Primair Onderwijs</t>
        </r>
      </text>
    </comment>
  </commentList>
</comments>
</file>

<file path=xl/comments25.xml><?xml version="1.0" encoding="utf-8"?>
<comments xmlns="http://schemas.openxmlformats.org/spreadsheetml/2006/main">
  <authors>
    <author>ginkeln</author>
  </authors>
  <commentList>
    <comment ref="A27" authorId="0">
      <text>
        <r>
          <rPr>
            <b/>
            <sz val="8"/>
            <rFont val="Tahoma"/>
            <family val="2"/>
          </rPr>
          <t>ginkeln:</t>
        </r>
        <r>
          <rPr>
            <sz val="8"/>
            <rFont val="Tahoma"/>
            <family val="2"/>
          </rPr>
          <t xml:space="preserve">
Indexering ministerie - Bekostigingsstelsel Primair Onderwijs</t>
        </r>
      </text>
    </comment>
  </commentList>
</comments>
</file>

<file path=xl/comments26.xml><?xml version="1.0" encoding="utf-8"?>
<comments xmlns="http://schemas.openxmlformats.org/spreadsheetml/2006/main">
  <authors>
    <author>N. van Ginkel</author>
  </authors>
  <commentList>
    <comment ref="C42" authorId="0">
      <text>
        <r>
          <rPr>
            <b/>
            <sz val="8"/>
            <rFont val="Tahoma"/>
            <family val="2"/>
          </rPr>
          <t>N. van Ginkel:</t>
        </r>
        <r>
          <rPr>
            <sz val="8"/>
            <rFont val="Tahoma"/>
            <family val="2"/>
          </rPr>
          <t xml:space="preserve">
4 maal per jaar per school voor Sinterklaas, Kerstviering/afscheid gr 8/fancyfair 
</t>
        </r>
      </text>
    </comment>
    <comment ref="C43" authorId="0">
      <text>
        <r>
          <rPr>
            <b/>
            <sz val="8"/>
            <rFont val="Tahoma"/>
            <family val="2"/>
          </rPr>
          <t>N. van Ginkel:</t>
        </r>
        <r>
          <rPr>
            <sz val="8"/>
            <rFont val="Tahoma"/>
            <family val="2"/>
          </rPr>
          <t xml:space="preserve">
4 maal per jaar per school voor Sinterklaas, Kerstviering/afscheid gr 8/fancyfair </t>
        </r>
      </text>
    </comment>
    <comment ref="C44" authorId="0">
      <text>
        <r>
          <rPr>
            <b/>
            <sz val="8"/>
            <rFont val="Tahoma"/>
            <family val="2"/>
          </rPr>
          <t>N. van Ginkel:</t>
        </r>
        <r>
          <rPr>
            <sz val="8"/>
            <rFont val="Tahoma"/>
            <family val="2"/>
          </rPr>
          <t xml:space="preserve">
4 maal per jaar per school voor Sinterklaas, Kerstviering/afscheid gr 8/fancyfair </t>
        </r>
      </text>
    </comment>
  </commentList>
</comments>
</file>

<file path=xl/comments8.xml><?xml version="1.0" encoding="utf-8"?>
<comments xmlns="http://schemas.openxmlformats.org/spreadsheetml/2006/main">
  <authors>
    <author>N. van Ginkel</author>
  </authors>
  <commentList>
    <comment ref="B11" authorId="0">
      <text>
        <r>
          <rPr>
            <b/>
            <sz val="8"/>
            <rFont val="Tahoma"/>
            <family val="2"/>
          </rPr>
          <t>N. van Ginkel:</t>
        </r>
        <r>
          <rPr>
            <sz val="8"/>
            <rFont val="Tahoma"/>
            <family val="2"/>
          </rPr>
          <t xml:space="preserve">
Bron Notitie 20 juni 2002, drs J.D. Vriend
Idex Personeel:
- Personeelsindex 2003 - 4%
- Personeelsindex 2004 - 2%
- Personeelsindex 2005 - 1%
- Personeelsindex 2006 - 1,5%
- Personeelsindex 2007 - 1,9%</t>
        </r>
      </text>
    </comment>
    <comment ref="B12" authorId="0">
      <text>
        <r>
          <rPr>
            <b/>
            <sz val="8"/>
            <rFont val="Tahoma"/>
            <family val="2"/>
          </rPr>
          <t>N. van Ginkel:</t>
        </r>
        <r>
          <rPr>
            <sz val="8"/>
            <rFont val="Tahoma"/>
            <family val="2"/>
          </rPr>
          <t xml:space="preserve">
Bron Notitie 20 juni 2002, drs J.D. Vriend
Index Huisvesting:
- Personeelsindex 2003 - 2,5%
- Personeelsindex 2004 - 2,5%
- Personeelsindex 2005 - 1%
- Personeelsindex 2006 - 1,25%
- Personeelsindex 2007 - 1,25%</t>
        </r>
      </text>
    </comment>
    <comment ref="B13" authorId="0">
      <text>
        <r>
          <rPr>
            <b/>
            <sz val="8"/>
            <rFont val="Tahoma"/>
            <family val="2"/>
          </rPr>
          <t>N. van Ginkel:</t>
        </r>
        <r>
          <rPr>
            <sz val="8"/>
            <rFont val="Tahoma"/>
            <family val="2"/>
          </rPr>
          <t xml:space="preserve">
Bron Notitie 20 juni 2002, drs J.D. Vriend
Index Materieel
- Personeelsindex 2003 - 3%
- Personeelsindex 2004 - 1,5%
- Personeelsindex 2005 - 0%
- Personeelsindex 2006 - 1,75%
- Personeelsindex 2007 - 3,5%</t>
        </r>
      </text>
    </comment>
    <comment ref="B28" authorId="0">
      <text>
        <r>
          <rPr>
            <b/>
            <sz val="8"/>
            <rFont val="Tahoma"/>
            <family val="2"/>
          </rPr>
          <t>N. van Ginkel:</t>
        </r>
        <r>
          <rPr>
            <sz val="8"/>
            <rFont val="Tahoma"/>
            <family val="2"/>
          </rPr>
          <t xml:space="preserve">
Ochtend en Middagen - 5 maal dubbele bezetting per week - 8 uur = 40 uur
Avonden - 3 maal dubbele bezetting per week - 5 uur = 15 uur
Totaal 55 uur extra bezetting per week * 50 weken = 2750 uur per jaar.
 </t>
        </r>
      </text>
    </comment>
  </commentList>
</comments>
</file>

<file path=xl/sharedStrings.xml><?xml version="1.0" encoding="utf-8"?>
<sst xmlns="http://schemas.openxmlformats.org/spreadsheetml/2006/main" count="1412" uniqueCount="743">
  <si>
    <t>Begane Grond</t>
  </si>
  <si>
    <t>Zaal Groot 01</t>
  </si>
  <si>
    <t>Zaal Groot 02</t>
  </si>
  <si>
    <t>Zaal Podium</t>
  </si>
  <si>
    <t>Speelzaal 1</t>
  </si>
  <si>
    <t>Speelzaal 2</t>
  </si>
  <si>
    <t>Wintertuin</t>
  </si>
  <si>
    <t>Bar / Café</t>
  </si>
  <si>
    <t xml:space="preserve">Zaal klein </t>
  </si>
  <si>
    <t>Zaal koppelbaar</t>
  </si>
  <si>
    <t>Muziekruimte</t>
  </si>
  <si>
    <t>Handvaardigheidsruimte</t>
  </si>
  <si>
    <t>Ochtend</t>
  </si>
  <si>
    <t xml:space="preserve">Middag </t>
  </si>
  <si>
    <t>Avond</t>
  </si>
  <si>
    <t>m2</t>
  </si>
  <si>
    <t>Middag</t>
  </si>
  <si>
    <t>Uitgangspunten</t>
  </si>
  <si>
    <t>Verhuurtijden</t>
  </si>
  <si>
    <t>Zaal Groot</t>
  </si>
  <si>
    <t xml:space="preserve">Speelzaal </t>
  </si>
  <si>
    <t>Particulier</t>
  </si>
  <si>
    <t xml:space="preserve">Wintertuin </t>
  </si>
  <si>
    <t>Zaal Klein</t>
  </si>
  <si>
    <t>Aula / Gemeenschapsruimte</t>
  </si>
  <si>
    <t xml:space="preserve">Cultureel </t>
  </si>
  <si>
    <t>Cultureel</t>
  </si>
  <si>
    <t>Prijs per m2 / per dagdeel</t>
  </si>
  <si>
    <t>Gem. Prijs</t>
  </si>
  <si>
    <t>%</t>
  </si>
  <si>
    <t>Totaal</t>
  </si>
  <si>
    <t>Podiumzaal</t>
  </si>
  <si>
    <t>Totale opbrengst</t>
  </si>
  <si>
    <t>Bezettingsgraad</t>
  </si>
  <si>
    <t>100% =</t>
  </si>
  <si>
    <t>dagdelen</t>
  </si>
  <si>
    <t xml:space="preserve">Zuid en Park - Verhuuropbrengst en Bezettinggraden </t>
  </si>
  <si>
    <t>Eenheidsprijzen verhuur</t>
  </si>
  <si>
    <t xml:space="preserve">Gemiddelde </t>
  </si>
  <si>
    <t>Bezettingsgraden</t>
  </si>
  <si>
    <t>Verhuuropbrengsten en Bezettinggraden</t>
  </si>
  <si>
    <t>Zuid en Park - Horecaopbrengsten</t>
  </si>
  <si>
    <t>Kengetallen 2005</t>
  </si>
  <si>
    <t xml:space="preserve">Horecaomzet </t>
  </si>
  <si>
    <t>Huuropbrengsten</t>
  </si>
  <si>
    <t>Verhouding Horecaomzet / Huur</t>
  </si>
  <si>
    <t>Verhouding Horecaomzet / huur</t>
  </si>
  <si>
    <t>Horecaopbrengsten</t>
  </si>
  <si>
    <t>Inkooppercentage</t>
  </si>
  <si>
    <t>Inkoopbedrag</t>
  </si>
  <si>
    <t>Percentage van de vehuurde ruimtes</t>
  </si>
  <si>
    <t>Oppervlaktes</t>
  </si>
  <si>
    <t>0 tarief</t>
  </si>
  <si>
    <t>0-tarief</t>
  </si>
  <si>
    <t>Opbrengst</t>
  </si>
  <si>
    <t>Gem.</t>
  </si>
  <si>
    <t>Scholen</t>
  </si>
  <si>
    <t xml:space="preserve">0-tarief </t>
  </si>
  <si>
    <t>Beschikbare dagdelen / jaar</t>
  </si>
  <si>
    <t>= Geblokt voor de scholen</t>
  </si>
  <si>
    <t xml:space="preserve">Verhoudingen typen huur </t>
  </si>
  <si>
    <t>Zalenhuur</t>
  </si>
  <si>
    <t>Aanvang</t>
  </si>
  <si>
    <t>Eind</t>
  </si>
  <si>
    <t>uren</t>
  </si>
  <si>
    <t>Zalenverhuur</t>
  </si>
  <si>
    <t>n.v.t</t>
  </si>
  <si>
    <t>Huurprijzen zaal/dagdeel</t>
  </si>
  <si>
    <t>Eerste Verdieping</t>
  </si>
  <si>
    <t>Openbare Basisschool Pestalozzi</t>
  </si>
  <si>
    <t>Protestants Christelijke basisschool Het Kompas</t>
  </si>
  <si>
    <t>Rooms Katholieke basisschool Sebastiaan</t>
  </si>
  <si>
    <t>Verian</t>
  </si>
  <si>
    <t>CODA - Bibliotheek</t>
  </si>
  <si>
    <t>Gymnastieklokaal</t>
  </si>
  <si>
    <t>ACCRES</t>
  </si>
  <si>
    <t>Multi-functionele ruimten</t>
  </si>
  <si>
    <t>NVO</t>
  </si>
  <si>
    <t>Constructies en Wanden 7%</t>
  </si>
  <si>
    <t>Totale BVO</t>
  </si>
  <si>
    <t>Peuterspeelzaal OOK</t>
  </si>
  <si>
    <t>Totaal NVO</t>
  </si>
  <si>
    <t>Zuid en Park - Schoonmaak</t>
  </si>
  <si>
    <t>Prijs/m2</t>
  </si>
  <si>
    <t>Prijzen exclusief BTW</t>
  </si>
  <si>
    <t>Vergoeding Scholen</t>
  </si>
  <si>
    <t>Rijksverg.</t>
  </si>
  <si>
    <t>Totalen</t>
  </si>
  <si>
    <t xml:space="preserve">Kinderopvang OOK </t>
  </si>
  <si>
    <t>Semi-Multifunctioneel</t>
  </si>
  <si>
    <t xml:space="preserve">Techniek </t>
  </si>
  <si>
    <t>Verkeersruimten</t>
  </si>
  <si>
    <t>p gebruiker</t>
  </si>
  <si>
    <t>Prijs/EH</t>
  </si>
  <si>
    <t>Totale prijs voor schoonmaak</t>
  </si>
  <si>
    <t>Nieuwbouw</t>
  </si>
  <si>
    <t>11. Bodemvoorzieningen</t>
  </si>
  <si>
    <t>13. Vloeren op grondslag</t>
  </si>
  <si>
    <t>16. Funderingsconstructies</t>
  </si>
  <si>
    <t>17. Paalfunderingen, prefab betonpalen</t>
  </si>
  <si>
    <t>21. Buitenwanden, metselwerk</t>
  </si>
  <si>
    <t>22. Binnenwanden</t>
  </si>
  <si>
    <t>23. Vloeren, in het werk gestorte vloer en breedplaatvloer</t>
  </si>
  <si>
    <t>24. Trappen en hellingen</t>
  </si>
  <si>
    <t>27. Daken</t>
  </si>
  <si>
    <t>28. Hoofddraagconstructies</t>
  </si>
  <si>
    <t>31. Buitenwandopeningen, standaard</t>
  </si>
  <si>
    <t>32. Binnenwandopeningen</t>
  </si>
  <si>
    <t>42. Binnenwandafwerkingen</t>
  </si>
  <si>
    <t>43. Vloerafwerkingen</t>
  </si>
  <si>
    <t>45. Plafondafwerkingen</t>
  </si>
  <si>
    <t>47. Dakafwerkingen</t>
  </si>
  <si>
    <t>51. Warmte-opwekking, CV-installatie</t>
  </si>
  <si>
    <t>52. Afvoeren, PVC</t>
  </si>
  <si>
    <t>53. Water, leidingen en appendages</t>
  </si>
  <si>
    <t>54. Gassen, leidingen en appendages</t>
  </si>
  <si>
    <t>56. Warmtedistributie, standaard installatie</t>
  </si>
  <si>
    <t>57. Luchtbehandeling, ventilatie-installatie</t>
  </si>
  <si>
    <t>57. Luchtbehandeling, luchtbehandelingsinstallatie</t>
  </si>
  <si>
    <t>58. Regeling klimaat en sanitair, standaard</t>
  </si>
  <si>
    <t>61. Centrale elektrotechnische voorzieningen, hoofdschakelaars en voedingspanelen</t>
  </si>
  <si>
    <t>62. Krachtstroom, verdeelinrichting, aardingsvoorzieningen, kabelgoten</t>
  </si>
  <si>
    <t>63. Verlichting, installatie met TL-armaturen</t>
  </si>
  <si>
    <t>64. Communicatie, datacommunicatie-installatie</t>
  </si>
  <si>
    <t>64. Communicatie, telefooninstallatie</t>
  </si>
  <si>
    <t>65. Beveiliging, brandmeldinstallatie</t>
  </si>
  <si>
    <t>65. Beveiliging, brandblusinstallatie</t>
  </si>
  <si>
    <t>65. Beveiliging, toegangscontrole-installatie</t>
  </si>
  <si>
    <t>65. Beveiliging, inbraakbeveiligingsinstallatie</t>
  </si>
  <si>
    <t>66. Transport, liftinstallatie</t>
  </si>
  <si>
    <t>67. Gebouwbeheersvoorzieningen, IBS</t>
  </si>
  <si>
    <t>73. Vaste keukenvoorzieningen, keukenblok(ken), spoelbak en bovenkast</t>
  </si>
  <si>
    <t>74. Vaste sanitaire voorzieningen, diverse combinaties</t>
  </si>
  <si>
    <t>75. Vaste onderhoudsvoorzieningen, glazenwasinstallatie</t>
  </si>
  <si>
    <t>Percentage Onderhoudskosten van nieuwbouw</t>
  </si>
  <si>
    <t>Omschrijving</t>
  </si>
  <si>
    <t xml:space="preserve">Prijspeil: </t>
  </si>
  <si>
    <t>Kostenkengetallen Bouwprojecten</t>
  </si>
  <si>
    <t>Totaal Preventief en Correctief Onderhoud - Exclusief staartkosten</t>
  </si>
  <si>
    <t>Totaal Preventief en Correctief Onderhoud - Inclusief staartkosten</t>
  </si>
  <si>
    <t>Winstkosten Nieuwbouw</t>
  </si>
  <si>
    <t>Totaal exclusief Staartkosten</t>
  </si>
  <si>
    <t>Waterschapslasten</t>
  </si>
  <si>
    <t>Zuiveringslasten</t>
  </si>
  <si>
    <t>Aantal</t>
  </si>
  <si>
    <t>Betreft: Container</t>
  </si>
  <si>
    <t>Type Container</t>
  </si>
  <si>
    <t>Prijzen per maand</t>
  </si>
  <si>
    <t>Prijs per jaar</t>
  </si>
  <si>
    <t>Rente</t>
  </si>
  <si>
    <t>Aantal termijnen</t>
  </si>
  <si>
    <t>jaar</t>
  </si>
  <si>
    <t>Beginwaarde</t>
  </si>
  <si>
    <t>Annuïteit</t>
  </si>
  <si>
    <t>Begin</t>
  </si>
  <si>
    <t>Aflossing</t>
  </si>
  <si>
    <t xml:space="preserve">Schaal 4 </t>
  </si>
  <si>
    <t>Schaal 5</t>
  </si>
  <si>
    <t>Schaal 6</t>
  </si>
  <si>
    <t>Fte</t>
  </si>
  <si>
    <t>Totale personeelskosten</t>
  </si>
  <si>
    <t>Schaal 4</t>
  </si>
  <si>
    <t>Basiskosten beheerder</t>
  </si>
  <si>
    <t>Eenheid</t>
  </si>
  <si>
    <t>Onroerende zaak Belasting</t>
  </si>
  <si>
    <t>waarde</t>
  </si>
  <si>
    <t>Investeringssom</t>
  </si>
  <si>
    <r>
      <t xml:space="preserve">Termijn </t>
    </r>
    <r>
      <rPr>
        <b/>
        <sz val="8"/>
        <rFont val="Arial"/>
        <family val="2"/>
      </rPr>
      <t>(jaar)</t>
    </r>
  </si>
  <si>
    <t>Betreft: Annuïteitenberekening Meubilair</t>
  </si>
  <si>
    <t>Zuid en Park - Terreinonderhoud</t>
  </si>
  <si>
    <t>Zuid en Park - Meubilair</t>
  </si>
  <si>
    <t>Zuid en Park - Telecommunicatie</t>
  </si>
  <si>
    <t>Zuid en Park - ICT voorzieningen</t>
  </si>
  <si>
    <t>Betreft: Annuïteitenberekening ICT voorzieningen en onderhoud</t>
  </si>
  <si>
    <t>Beheer- en Exploitatie MultiFunctioneel Centrum</t>
  </si>
  <si>
    <t>Redactiedatum:</t>
  </si>
  <si>
    <t>Versie:</t>
  </si>
  <si>
    <t>Prijspeil</t>
  </si>
  <si>
    <t>A Uitgangspunten</t>
  </si>
  <si>
    <t>Leegstand</t>
  </si>
  <si>
    <t>per jaar</t>
  </si>
  <si>
    <t>Stijging kosten</t>
  </si>
  <si>
    <t>Stijging inkomsten</t>
  </si>
  <si>
    <t>Start bouw MFC</t>
  </si>
  <si>
    <t>Oplevering MFC</t>
  </si>
  <si>
    <t>Afschrijvingstermijn gebouw</t>
  </si>
  <si>
    <t>jaren</t>
  </si>
  <si>
    <t xml:space="preserve">m² </t>
  </si>
  <si>
    <t>m² b.v.o.</t>
  </si>
  <si>
    <t>Stichtingskosten MFC</t>
  </si>
  <si>
    <t>Inkomsten vanuit de grond</t>
  </si>
  <si>
    <t>Restwaarde</t>
  </si>
  <si>
    <t>grond</t>
  </si>
  <si>
    <t>E Structurele inkomsten</t>
  </si>
  <si>
    <t>juni</t>
  </si>
  <si>
    <t>Zuid en Park - Beheer en Exploitatiemodel</t>
  </si>
  <si>
    <t>Totale prijs voor energie</t>
  </si>
  <si>
    <t>Openingstijden</t>
  </si>
  <si>
    <t>Voorbereiding</t>
  </si>
  <si>
    <t>Tijden beheer</t>
  </si>
  <si>
    <t>Opruimen</t>
  </si>
  <si>
    <t xml:space="preserve">Totale beheertijd p/p </t>
  </si>
  <si>
    <t>uur</t>
  </si>
  <si>
    <t>Aantal uren beheer</t>
  </si>
  <si>
    <t>Openingsweken</t>
  </si>
  <si>
    <t>Openinsdagen per week</t>
  </si>
  <si>
    <t>Uren open per dag</t>
  </si>
  <si>
    <t>dagen</t>
  </si>
  <si>
    <t>weken</t>
  </si>
  <si>
    <t>Openingsuren per jaar</t>
  </si>
  <si>
    <t>Totaal Beheersuren</t>
  </si>
  <si>
    <t>Uren per jaar per beheerder</t>
  </si>
  <si>
    <t>Benodigd aantal beheerders</t>
  </si>
  <si>
    <t>Kosten beheerders</t>
  </si>
  <si>
    <t>beheerders</t>
  </si>
  <si>
    <t>Dagen per week open</t>
  </si>
  <si>
    <t>Aantal dagen per jaar open</t>
  </si>
  <si>
    <t>Beschikbare dagdelen</t>
  </si>
  <si>
    <t>Extra bezetting</t>
  </si>
  <si>
    <t xml:space="preserve">Correctie Maatschappelijk </t>
  </si>
  <si>
    <t xml:space="preserve">Verhouding </t>
  </si>
  <si>
    <t>Percentage extra bezetting</t>
  </si>
  <si>
    <t>Multi-functionele ruimten (exclusief Wintertuin)</t>
  </si>
  <si>
    <t>Omvang gebouw</t>
  </si>
  <si>
    <t>Percentage</t>
  </si>
  <si>
    <t>BTW</t>
  </si>
  <si>
    <t>Inclusief BTW</t>
  </si>
  <si>
    <t>BTW-hoog</t>
  </si>
  <si>
    <t>BTW-laag</t>
  </si>
  <si>
    <t xml:space="preserve">Aanleg verhard/onverhard </t>
  </si>
  <si>
    <t>Exclusief BTW</t>
  </si>
  <si>
    <t>Stichtingskosten</t>
  </si>
  <si>
    <t>exclusief BTW</t>
  </si>
  <si>
    <t>School Pestalozzi</t>
  </si>
  <si>
    <t>School Het Kompas</t>
  </si>
  <si>
    <t>School Sebastiaan</t>
  </si>
  <si>
    <t>Algemene ruimten</t>
  </si>
  <si>
    <t>Semi-Multifunct. Scholen</t>
  </si>
  <si>
    <t>ACCRES + Multifunctioneel</t>
  </si>
  <si>
    <t>Per.</t>
  </si>
  <si>
    <t>Klachten- en Meerjarenonderhoud</t>
  </si>
  <si>
    <t>Schoonmaak</t>
  </si>
  <si>
    <t>Kosten ledigen container</t>
  </si>
  <si>
    <t>Telecommunicatie</t>
  </si>
  <si>
    <t>Beheer</t>
  </si>
  <si>
    <t xml:space="preserve">Huur onroerende zaken gemeente </t>
  </si>
  <si>
    <t>Nutsvoorzieningen</t>
  </si>
  <si>
    <t>Terreinonderhoud</t>
  </si>
  <si>
    <t>Servicekosten</t>
  </si>
  <si>
    <t>Exploitatie</t>
  </si>
  <si>
    <t>van geheel</t>
  </si>
  <si>
    <t>Ruimten</t>
  </si>
  <si>
    <t xml:space="preserve">Totale </t>
  </si>
  <si>
    <t>Totale</t>
  </si>
  <si>
    <t xml:space="preserve">Gymnastieklokaal </t>
  </si>
  <si>
    <t>Investering minus gymlokaal</t>
  </si>
  <si>
    <t>Verzekeringen</t>
  </si>
  <si>
    <t>Belastingen en heffingen</t>
  </si>
  <si>
    <t>Zuid en Park - Belastingen en heffingen</t>
  </si>
  <si>
    <t>BVO</t>
  </si>
  <si>
    <t xml:space="preserve">per </t>
  </si>
  <si>
    <t>Gebruikersdeel</t>
  </si>
  <si>
    <t>Eigenarendeel</t>
  </si>
  <si>
    <t>Belastingen en Heffingen</t>
  </si>
  <si>
    <t>Totaal Belastingen en heffingen</t>
  </si>
  <si>
    <t>Methode ICS</t>
  </si>
  <si>
    <t>Heffingen</t>
  </si>
  <si>
    <t>€ 0,75 per m2</t>
  </si>
  <si>
    <t>€ 0,80 per m2</t>
  </si>
  <si>
    <t>Zuid en Park - Verzekeringen</t>
  </si>
  <si>
    <t>Verzekeringen Eigenarendeel</t>
  </si>
  <si>
    <t>Verzekeingen Gebruikersdeel</t>
  </si>
  <si>
    <t>van de investering (bron ICS)</t>
  </si>
  <si>
    <t>Waarde</t>
  </si>
  <si>
    <t>Verzekering</t>
  </si>
  <si>
    <t>Wijkraad</t>
  </si>
  <si>
    <t>Onderhoud/ververvanging Inventaris</t>
  </si>
  <si>
    <t>Zuid en Park - Servicekosten</t>
  </si>
  <si>
    <t>Kinderopvang OOK</t>
  </si>
  <si>
    <t>Zuid en Park - Huurinkomsten</t>
  </si>
  <si>
    <t>Gemaakte afspraken met huurders</t>
  </si>
  <si>
    <t>per m2/BVO</t>
  </si>
  <si>
    <t>Huurinkomsten</t>
  </si>
  <si>
    <t>Huurinkomsten per jaar</t>
  </si>
  <si>
    <t>Totale huurinkomsten</t>
  </si>
  <si>
    <t>vervuilingseenheid =</t>
  </si>
  <si>
    <t>Vervangingskosten per jaar</t>
  </si>
  <si>
    <t>Onderhoudskosten</t>
  </si>
  <si>
    <t>Totale kosten</t>
  </si>
  <si>
    <t>Onderhoudskosten per jaar</t>
  </si>
  <si>
    <t>Zuid en Park - Marketing en communicatie</t>
  </si>
  <si>
    <t>Uitgangspunten ICS</t>
  </si>
  <si>
    <t>Uitgangspunten Gemeente</t>
  </si>
  <si>
    <t xml:space="preserve">van de investering </t>
  </si>
  <si>
    <t>Gedeeltelijk Doorberekend</t>
  </si>
  <si>
    <t>Doorberekend</t>
  </si>
  <si>
    <t>Prijspeil 1 januari 2007</t>
  </si>
  <si>
    <t>Gebruiksdeel</t>
  </si>
  <si>
    <t>Bij huurprijs inbegrepen</t>
  </si>
  <si>
    <t>Niet berekend</t>
  </si>
  <si>
    <t>CODA</t>
  </si>
  <si>
    <t xml:space="preserve">Prijs </t>
  </si>
  <si>
    <t>Totaaprijzen</t>
  </si>
  <si>
    <t>Totale Servicekosten</t>
  </si>
  <si>
    <t>Wintertuin (477 m2)</t>
  </si>
  <si>
    <t>Automatisering (ICT)</t>
  </si>
  <si>
    <t>Betreft: Annuïteitenberekening Telefooninstallatie incl. Onderhoud</t>
  </si>
  <si>
    <t>Aantal m2 NVO</t>
  </si>
  <si>
    <t>Prijzen per m2/NVO</t>
  </si>
  <si>
    <t>CODA - bibliotheek</t>
  </si>
  <si>
    <t>Huurprijs</t>
  </si>
  <si>
    <t>prijspeil 1 januari 2006</t>
  </si>
  <si>
    <t>prijspeil 1 januari 2007</t>
  </si>
  <si>
    <t>Preispeil 01-01-2007</t>
  </si>
  <si>
    <t>Service-</t>
  </si>
  <si>
    <t>kosten</t>
  </si>
  <si>
    <t>Expl. kosten</t>
  </si>
  <si>
    <t>Kosten Alg.</t>
  </si>
  <si>
    <t>Zuid en Park - Nutsvoorzieningen</t>
  </si>
  <si>
    <t xml:space="preserve">Uitgangspunt Scholen </t>
  </si>
  <si>
    <t>Prot. Chr. basisschool Het Kompas</t>
  </si>
  <si>
    <t>Zuid en Park - Afvalverwerking</t>
  </si>
  <si>
    <t>Prev. Ond.</t>
  </si>
  <si>
    <t>Corr. Ond.</t>
  </si>
  <si>
    <t>Zuid en Park - Meerjaren Onderhouds Kosten</t>
  </si>
  <si>
    <t>64. Communicatie, omroepinstallatie (ontruiming)</t>
  </si>
  <si>
    <t xml:space="preserve">Totaal inclusief Staartkosten : </t>
  </si>
  <si>
    <t>55. Warmte-opwekking en -distributie en installatie</t>
  </si>
  <si>
    <t>ORT Toeslag</t>
  </si>
  <si>
    <t>Zuid en Park - Kosten Beheer</t>
  </si>
  <si>
    <t>5.   Klachten- en Meerjarenonderhoud</t>
  </si>
  <si>
    <t>4.   Verzekeringen</t>
  </si>
  <si>
    <t>2.   Nutsvoorzieningen</t>
  </si>
  <si>
    <t>1.   Beheer</t>
  </si>
  <si>
    <t>14. Rijksvergoeding Pestalozzi</t>
  </si>
  <si>
    <t>15. Rijksvergoeding Het Kompas</t>
  </si>
  <si>
    <t>16. Rijksvergoeding Sebastiaans.</t>
  </si>
  <si>
    <t>17. Verhuur Zaalruimten</t>
  </si>
  <si>
    <t>18. Horecaopbrengsten</t>
  </si>
  <si>
    <t>19. Huurinkomsten</t>
  </si>
  <si>
    <t>20. Servicekosten</t>
  </si>
  <si>
    <t>Zuid en Park - Gebruik scholen</t>
  </si>
  <si>
    <t>Begane grond</t>
  </si>
  <si>
    <t>Verdieping</t>
  </si>
  <si>
    <t>Energiekosten</t>
  </si>
  <si>
    <t>Gebruik door school</t>
  </si>
  <si>
    <t xml:space="preserve">Incidentele dagdelen </t>
  </si>
  <si>
    <t>Dagdelen per week</t>
  </si>
  <si>
    <t>Totaal aantal dagdelen</t>
  </si>
  <si>
    <t>Gem. Kosten</t>
  </si>
  <si>
    <t>p/ dagdeel</t>
  </si>
  <si>
    <t>Incl. BTW</t>
  </si>
  <si>
    <t>Plaats</t>
  </si>
  <si>
    <t>Kosten gebruik Scholen</t>
  </si>
  <si>
    <t>Resumerend</t>
  </si>
  <si>
    <t>Prijspeil 01-01-2007</t>
  </si>
  <si>
    <t>Kosten</t>
  </si>
  <si>
    <t>Tabblad</t>
  </si>
  <si>
    <t>21. Verhuurprijzen Scholen</t>
  </si>
  <si>
    <t xml:space="preserve">Prijzen exclusief BTW </t>
  </si>
  <si>
    <t>Leegstandsrisico</t>
  </si>
  <si>
    <t>Disconteringsvoet (IRR)</t>
  </si>
  <si>
    <t>Totaal Structuele Inkomsten</t>
  </si>
  <si>
    <t>Beheerskosten</t>
  </si>
  <si>
    <t>Totaal Structurele Uitgaven</t>
  </si>
  <si>
    <t>Toerekening</t>
  </si>
  <si>
    <t>Alg. ruimte</t>
  </si>
  <si>
    <t>Openbare basisschool Pestalozzi</t>
  </si>
  <si>
    <t>Rioolrecht</t>
  </si>
  <si>
    <t>BVO is percentage van totale BVO (inclusief gangen en verkeersruimten)</t>
  </si>
  <si>
    <t>B Eenmalige uitgaven per Onderdeel</t>
  </si>
  <si>
    <t>B Eenmalige uitgaven per Onderdeel (Algemene ruimtes per onderdeel verdisconteerd, exclusief Gymlokaal)</t>
  </si>
  <si>
    <t>Overhead en indirecte kosten</t>
  </si>
  <si>
    <t>Per formatieplaats</t>
  </si>
  <si>
    <t>Huisvestingskosten</t>
  </si>
  <si>
    <t>Per functie - Indien kantoorfunctie betreft</t>
  </si>
  <si>
    <t>Automatisering en werkplek</t>
  </si>
  <si>
    <t>Bijzonderheden</t>
  </si>
  <si>
    <t>EH kosten beheerder</t>
  </si>
  <si>
    <t>ACCRES + Semi + Multifunct.</t>
  </si>
  <si>
    <t>Verdisconteerd</t>
  </si>
  <si>
    <t>OZB</t>
  </si>
  <si>
    <t>ACCRES + Semi - Multi. Func.</t>
  </si>
  <si>
    <t>Totaal Eigenarendeel</t>
  </si>
  <si>
    <t>Totaalbedrag verzekering Opstal</t>
  </si>
  <si>
    <t>Opstal verzekering</t>
  </si>
  <si>
    <t>ACCRES + Semi + Multifunctioneel</t>
  </si>
  <si>
    <t>Totale Onderhoudskosten</t>
  </si>
  <si>
    <t>Buitenruimte basisscholen</t>
  </si>
  <si>
    <t>Buitenruimte kinderopvang OOK</t>
  </si>
  <si>
    <r>
      <t>m</t>
    </r>
    <r>
      <rPr>
        <vertAlign val="superscript"/>
        <sz val="10"/>
        <rFont val="Arial"/>
        <family val="2"/>
      </rPr>
      <t>2</t>
    </r>
  </si>
  <si>
    <t>Oppervlakte</t>
  </si>
  <si>
    <t>Bedrag</t>
  </si>
  <si>
    <t>Totale Kosten</t>
  </si>
  <si>
    <r>
      <t>Kosten per m</t>
    </r>
    <r>
      <rPr>
        <b/>
        <i/>
        <vertAlign val="superscript"/>
        <sz val="10"/>
        <rFont val="Arial"/>
        <family val="2"/>
      </rPr>
      <t>2</t>
    </r>
  </si>
  <si>
    <t>Kostenverdeling</t>
  </si>
  <si>
    <t>Kostenverdeling Meerjaren Onderhoudskosten</t>
  </si>
  <si>
    <t>Overheadkosten Vastgoed</t>
  </si>
  <si>
    <t>Overhead</t>
  </si>
  <si>
    <t>6.   Schoonmaak</t>
  </si>
  <si>
    <t>7.   Afvalverwerking</t>
  </si>
  <si>
    <t>8.   Terreinonderhoud</t>
  </si>
  <si>
    <t>9. Telecommunicatie</t>
  </si>
  <si>
    <t>10. ICT Voorzieningen</t>
  </si>
  <si>
    <t>11. Onderhoud/ververvanging Inventaris</t>
  </si>
  <si>
    <t>12. Marketing en Promotie</t>
  </si>
  <si>
    <t>Huur</t>
  </si>
  <si>
    <t>Zuid en Park - Kostprijsdekkende huur</t>
  </si>
  <si>
    <t>m2/VVO</t>
  </si>
  <si>
    <r>
      <t>per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/VVO</t>
    </r>
  </si>
  <si>
    <t>Kostprijsdekkende huurprijs</t>
  </si>
  <si>
    <t>Belast. + Heff.</t>
  </si>
  <si>
    <t>MJOP</t>
  </si>
  <si>
    <t>Investering</t>
  </si>
  <si>
    <t>Note: Voor kostprijsdekkende huur doelzoeken op investering</t>
  </si>
  <si>
    <t>C Eenmalige inkomsten</t>
  </si>
  <si>
    <t>D Structurele uitgaven</t>
  </si>
  <si>
    <t>Zuid en Park - Rijksvergoeding "Het Kompas"</t>
  </si>
  <si>
    <t>Rijksvergoeding gebouwafh. kosten Het Kompas.</t>
  </si>
  <si>
    <t>Omvang 12 groepen (= huidige omvang; ook al 13 groepen geweest)</t>
  </si>
  <si>
    <t>Norm BVO</t>
  </si>
  <si>
    <t>m²</t>
  </si>
  <si>
    <t>(= incl. OKV)</t>
  </si>
  <si>
    <t>Onderhoud</t>
  </si>
  <si>
    <t>- Gebouw</t>
  </si>
  <si>
    <t>- Tuinonderh.</t>
  </si>
  <si>
    <t>Energie</t>
  </si>
  <si>
    <t>- Electriciteit</t>
  </si>
  <si>
    <t>- Verwarming</t>
  </si>
  <si>
    <t>- Waterverbruik</t>
  </si>
  <si>
    <t>Publiekr. heffingen</t>
  </si>
  <si>
    <t>Onderhoudsbeheer</t>
  </si>
  <si>
    <t>Totaal:</t>
  </si>
  <si>
    <t xml:space="preserve">Excl. Bijdrage gemeente voor buitenonderhoud, OZB en </t>
  </si>
  <si>
    <t>Prijzen inclusief BTW</t>
  </si>
  <si>
    <t>Zuid en Park - Rijksvergoeding "Pestalozzi"</t>
  </si>
  <si>
    <t>Omvang 6 groepen</t>
  </si>
  <si>
    <t>Zuid en Park - Rijksvergoeding "Sebastiaanschool"</t>
  </si>
  <si>
    <t>Omvang 5 groepen</t>
  </si>
  <si>
    <t>Jaarloon</t>
  </si>
  <si>
    <t>Jaarloon incl. ORT</t>
  </si>
  <si>
    <t>EH Overhead + Ind. K.</t>
  </si>
  <si>
    <t>Doorbereking Beheer</t>
  </si>
  <si>
    <t>Bedrag per m²</t>
  </si>
  <si>
    <t>Bedrag p. school</t>
  </si>
  <si>
    <t xml:space="preserve">Toerekening </t>
  </si>
  <si>
    <t>Semi-Multifunctioneel (67% scholen/33% ACCRES)</t>
  </si>
  <si>
    <t>( 67% scholen / 33%ACCRES )</t>
  </si>
  <si>
    <t>Zaal 1 - 80 m2</t>
  </si>
  <si>
    <t>Tafels</t>
  </si>
  <si>
    <t>Stoelen</t>
  </si>
  <si>
    <t>Zaal 2 - 80 m2</t>
  </si>
  <si>
    <t>Podiumzaal - 61m2</t>
  </si>
  <si>
    <t>Wintertuin - 300 m2</t>
  </si>
  <si>
    <t>Tafels rond</t>
  </si>
  <si>
    <t>Stoelen riet</t>
  </si>
  <si>
    <t>Parasols</t>
  </si>
  <si>
    <t>Heaters</t>
  </si>
  <si>
    <t>Bar/café - 100 m2</t>
  </si>
  <si>
    <t xml:space="preserve">5 x zaal klein - 40 m2 </t>
  </si>
  <si>
    <t>Tafels (8 per zaal)</t>
  </si>
  <si>
    <t>Stoelen stapelbaar (20 per zaal)</t>
  </si>
  <si>
    <t>Beheerderskantoor</t>
  </si>
  <si>
    <t>Buro</t>
  </si>
  <si>
    <t>Stoel</t>
  </si>
  <si>
    <t>Kast</t>
  </si>
  <si>
    <t>Zitje</t>
  </si>
  <si>
    <t>Algemeen</t>
  </si>
  <si>
    <t>Tafelkarren</t>
  </si>
  <si>
    <t>Stoelenkarren</t>
  </si>
  <si>
    <t>Gordijnen</t>
  </si>
  <si>
    <t>Vitrage</t>
  </si>
  <si>
    <t>Garderobe rekken</t>
  </si>
  <si>
    <t>Sleutelkast</t>
  </si>
  <si>
    <t>Artikel</t>
  </si>
  <si>
    <t>Prijs</t>
  </si>
  <si>
    <t>per stuk</t>
  </si>
  <si>
    <t>Ruimte</t>
  </si>
  <si>
    <r>
      <t>1</t>
    </r>
    <r>
      <rPr>
        <vertAlign val="superscript"/>
        <sz val="10"/>
        <rFont val="Arial"/>
        <family val="2"/>
      </rPr>
      <t>ste</t>
    </r>
    <r>
      <rPr>
        <sz val="10"/>
        <rFont val="Arial"/>
        <family val="0"/>
      </rPr>
      <t xml:space="preserve"> Verdieping</t>
    </r>
  </si>
  <si>
    <t>Zuid en Park - Meubilair en Inrichting</t>
  </si>
  <si>
    <t>Geluidsinstallatie</t>
  </si>
  <si>
    <t>ACCRES Semi + multifunctioneel</t>
  </si>
  <si>
    <t>Internet Fiber aanbieding</t>
  </si>
  <si>
    <t>Maandtarief</t>
  </si>
  <si>
    <t>Eenmalig</t>
  </si>
  <si>
    <t>Opmerking</t>
  </si>
  <si>
    <t>Basis</t>
  </si>
  <si>
    <t>aansluitkosten voor aansluitingen binnen de door KPN gedefinieerde postcode gebieden in de gemeente Apeldoorn</t>
  </si>
  <si>
    <t xml:space="preserve">Klantaansluiting - KPN network access </t>
  </si>
  <si>
    <t>Internet*</t>
  </si>
  <si>
    <t xml:space="preserve">2 Mb symmetrisch 1:10 </t>
  </si>
  <si>
    <t>2 Mb symmetrisch 1:1</t>
  </si>
  <si>
    <t xml:space="preserve">10 Mb symmetrisch 1:10 </t>
  </si>
  <si>
    <t>10 Mb symmetrisch 1:1</t>
  </si>
  <si>
    <t xml:space="preserve">50 Mb symmetrisch 1:10 </t>
  </si>
  <si>
    <t>Data</t>
  </si>
  <si>
    <t>Lokale laag-2 VPN voor de connectie naar vestigingen binnen de gemeente Apeldoorn</t>
  </si>
  <si>
    <t xml:space="preserve">   10Mb Entry kwaliteit, per aansluiting per VPN</t>
  </si>
  <si>
    <t xml:space="preserve">   10Mb Premium kwaliteit, per aansluiting per VPN</t>
  </si>
  <si>
    <t xml:space="preserve">   100Mb Entry kwaliteit, per aansluiting per VPN</t>
  </si>
  <si>
    <t xml:space="preserve">   100Mb Premium kwaliteit, per aansluiting per VPN</t>
  </si>
  <si>
    <t xml:space="preserve">   1Gb Entry kwaliteit, per aansluiting per VPN</t>
  </si>
  <si>
    <t xml:space="preserve">   1Gb Premium kwaliteit, per aansluiting per VPN</t>
  </si>
  <si>
    <t>Regionale/nationale laag-2 VPN voor de connectie naar vestigingen buiten Apeldoorn</t>
  </si>
  <si>
    <t>reguliere E-VPN tarieven</t>
  </si>
  <si>
    <t>Regionale/nationale laag-3 VPN voor de connectie naar vestigingen buiten Apeldoorn</t>
  </si>
  <si>
    <t>reguliere E-VPN/Epacity  tarieven</t>
  </si>
  <si>
    <t>Voice</t>
  </si>
  <si>
    <t>VoIP</t>
  </si>
  <si>
    <t>nog niet beschikbaar</t>
  </si>
  <si>
    <t>ISDN30</t>
  </si>
  <si>
    <t>E-mail - 5 mailboxen (POP3), 50Mb per mailbox ( standaard)</t>
  </si>
  <si>
    <t>Mail Store &amp; Forward (de mailserver variant)</t>
  </si>
  <si>
    <t xml:space="preserve"> E-mail (POP3), per staffel (5 mailboxen, 50 Mb per mailbox) </t>
  </si>
  <si>
    <t xml:space="preserve"> Extra ruimte mailbox, per 50 Mb per mailbox </t>
  </si>
  <si>
    <t xml:space="preserve"> Webspace, per 50 Mb </t>
  </si>
  <si>
    <t>8 vaste IP-adressen (standaard)</t>
  </si>
  <si>
    <t>16 vaste IP-adressen (uitgebreid)</t>
  </si>
  <si>
    <t>32 vaste IP-adressen (extra uitgebreid)</t>
  </si>
  <si>
    <t xml:space="preserve">Hardware </t>
  </si>
  <si>
    <t>Installatiekosten (professionele on-site installatie)</t>
  </si>
  <si>
    <t xml:space="preserve">Router (Siemens Efficiënt 5450) </t>
  </si>
  <si>
    <t>Installatie managed Router (Cisco 87x)</t>
  </si>
  <si>
    <t>Service garantie</t>
  </si>
  <si>
    <t>Standaard</t>
  </si>
  <si>
    <t>Uitgebreid</t>
  </si>
  <si>
    <t>Extra uitgebreid</t>
  </si>
  <si>
    <t>Aanvullende diensten</t>
  </si>
  <si>
    <r>
      <t xml:space="preserve"> Extra PC aansluiting/installatie, per PC </t>
    </r>
    <r>
      <rPr>
        <sz val="8"/>
        <color indexed="8"/>
        <rFont val="Arial"/>
        <family val="2"/>
      </rPr>
      <t>(+ 10 m. bekabeling, max. 4 PC's op één router)</t>
    </r>
  </si>
  <si>
    <t xml:space="preserve"> Netwerkkaart installatie (+ PCI of USB kaart)</t>
  </si>
  <si>
    <t xml:space="preserve"> Wi-Fi installatie (+ Wireless Access Point + adapter USB of PCMCIA)</t>
  </si>
  <si>
    <t>via kpn.com</t>
  </si>
  <si>
    <t xml:space="preserve"> Extra Wi-Fi adapter installatie (+ adapter USB of PCMCIA)</t>
  </si>
  <si>
    <t xml:space="preserve"> Managed Firewall (Check Point S-Box) *</t>
  </si>
  <si>
    <t xml:space="preserve"> Pinnen over IP</t>
  </si>
  <si>
    <t>On-line Lineloadrapportage en beschikbaarheidsrapportage</t>
  </si>
  <si>
    <t>inclusief</t>
  </si>
  <si>
    <t xml:space="preserve"> Extra domeinnaam</t>
  </si>
  <si>
    <t xml:space="preserve"> Domeinnaam verhuizing/wijziging</t>
  </si>
  <si>
    <r>
      <t xml:space="preserve"> </t>
    </r>
    <r>
      <rPr>
        <sz val="10"/>
        <rFont val="Arial"/>
        <family val="2"/>
      </rPr>
      <t>PC Backup 500</t>
    </r>
  </si>
  <si>
    <t xml:space="preserve"> PC Backup 1000</t>
  </si>
  <si>
    <t xml:space="preserve"> PC Backup 2000</t>
  </si>
  <si>
    <t xml:space="preserve"> PC Backup 4000</t>
  </si>
  <si>
    <t xml:space="preserve"> PC Backup 10000</t>
  </si>
  <si>
    <t xml:space="preserve"> PC Backup 20000</t>
  </si>
  <si>
    <t>extra ip adressen (&gt; 32)</t>
  </si>
  <si>
    <t>op aanvraag</t>
  </si>
  <si>
    <t>Reverse DNS</t>
  </si>
  <si>
    <t>Nieuwsgroepen</t>
  </si>
  <si>
    <t>Eenmalige aanleg van interne bekabeling</t>
  </si>
  <si>
    <t>nacalculatie</t>
  </si>
  <si>
    <t>In ontwikkeling</t>
  </si>
  <si>
    <t xml:space="preserve">Camera beveiliging </t>
  </si>
  <si>
    <t>inidvidueel</t>
  </si>
  <si>
    <t>collectief</t>
  </si>
  <si>
    <t>CRM applicatie</t>
  </si>
  <si>
    <t>Web content management applicatie</t>
  </si>
  <si>
    <t>* Tarieven gelden alleen bij &gt;50 klanten binnen beperkt geografisch gebied.</t>
  </si>
  <si>
    <t>contractduur 3 jaar</t>
  </si>
  <si>
    <t>prijzen exclusief BTW</t>
  </si>
  <si>
    <t>Glasvezelaansluiting</t>
  </si>
  <si>
    <t>Vaste aansluitkosten</t>
  </si>
  <si>
    <t>4 meter verharding voor gebouw</t>
  </si>
  <si>
    <t>Verdeling Scholen en Kinderopvang OOK</t>
  </si>
  <si>
    <t xml:space="preserve">Verdeling Verharding voor gebouw </t>
  </si>
  <si>
    <t>Gebruiksvergunning</t>
  </si>
  <si>
    <t>Overige</t>
  </si>
  <si>
    <t>Zuid en Park - Overige publiekrechtelijke heffingen</t>
  </si>
  <si>
    <t>Kosten gebruiksvergunning</t>
  </si>
  <si>
    <t>Kosten over 5 jaar</t>
  </si>
  <si>
    <t>Gem. Kosten over 5 jaar</t>
  </si>
  <si>
    <t>Opstalverzekering</t>
  </si>
  <si>
    <t>- 1,22 promille per € 100 waarde</t>
  </si>
  <si>
    <t>Inboedelverzekering</t>
  </si>
  <si>
    <t>- 1,2 promille per € 1000 waarde</t>
  </si>
  <si>
    <t>Multifunctioneel - Wijkcentrum</t>
  </si>
  <si>
    <t>Inboedel verzekering</t>
  </si>
  <si>
    <t>* Uitgangspunt - Huurders verzekeren zelf inboedelverzekering</t>
  </si>
  <si>
    <t>openen pand (openbare deel)</t>
  </si>
  <si>
    <t>controle en sluiten accommodatie</t>
  </si>
  <si>
    <t>klaarzetten acht zalen</t>
  </si>
  <si>
    <t>overlaptijd (overgang tussen 2 diensten)</t>
  </si>
  <si>
    <t>voorbereiden en opruimen horeca</t>
  </si>
  <si>
    <t>(exclusieve) bardienst incl. bestellingen</t>
  </si>
  <si>
    <t>kasopmaak dagelijks</t>
  </si>
  <si>
    <t>kasopmaak wekelijks</t>
  </si>
  <si>
    <t>horeca bij sc-evenementen</t>
  </si>
  <si>
    <t>aanvragen nieuwe huurders</t>
  </si>
  <si>
    <t>begeleiding potentiële klanten (PR)</t>
  </si>
  <si>
    <t>overleg met bestaande  huurders/participanten</t>
  </si>
  <si>
    <t>sc evenementenorganisatie (CODA en zelf)</t>
  </si>
  <si>
    <t>verhuuradministratie</t>
  </si>
  <si>
    <t>administratie naar Element/verantwoorden</t>
  </si>
  <si>
    <t>intern werkoverleg (collectief)</t>
  </si>
  <si>
    <t>leidinggeven locatieverantwoordelijke</t>
  </si>
  <si>
    <t>Taken Beheerder</t>
  </si>
  <si>
    <t>Subtotaal</t>
  </si>
  <si>
    <t>Berekening netto uren cf. model Moret Erst &amp; Young, 1998.</t>
  </si>
  <si>
    <t>Bruto aanwezig</t>
  </si>
  <si>
    <t>52 x 36 u/w</t>
  </si>
  <si>
    <t>vakantie</t>
  </si>
  <si>
    <t>26 x 7,2 u/d</t>
  </si>
  <si>
    <t>feestdagen</t>
  </si>
  <si>
    <t>8 x 7,2 u/d</t>
  </si>
  <si>
    <t>ziek</t>
  </si>
  <si>
    <t>opleiding/training</t>
  </si>
  <si>
    <t>Horeca facilitair</t>
  </si>
  <si>
    <t>Verhuur</t>
  </si>
  <si>
    <t>Intern</t>
  </si>
  <si>
    <t>Aantal benodigd Fte</t>
  </si>
  <si>
    <t xml:space="preserve">Verhuur </t>
  </si>
  <si>
    <t>Kostenverdeling Beheer</t>
  </si>
  <si>
    <t>ACCRES - Horeca + Facilitair + Intern</t>
  </si>
  <si>
    <t>Semi-Multifunctioneel (33% ACCRES / 67% Scholen)</t>
  </si>
  <si>
    <t>Methode 1 - Urenbasis</t>
  </si>
  <si>
    <t>3A. Overige Publiekrechtelijke heffingen</t>
  </si>
  <si>
    <t xml:space="preserve">3.   Belastingen en heffingen </t>
  </si>
  <si>
    <t>11A. Inventaris</t>
  </si>
  <si>
    <t xml:space="preserve">Kosten </t>
  </si>
  <si>
    <t>Kosten per m2/BVO</t>
  </si>
  <si>
    <t>Marking en Communicatie voor verhuur zalen</t>
  </si>
  <si>
    <t>Structurele Uitgaven</t>
  </si>
  <si>
    <t>Totaal Gebruikersdeel</t>
  </si>
  <si>
    <t>Financiering</t>
  </si>
  <si>
    <t>Opname</t>
  </si>
  <si>
    <t xml:space="preserve">Aflossing </t>
  </si>
  <si>
    <t>Restschuld</t>
  </si>
  <si>
    <t>Saldo Fin.</t>
  </si>
  <si>
    <t>Saldo Totaal</t>
  </si>
  <si>
    <t>IRR</t>
  </si>
  <si>
    <t>Verrijdbare bar</t>
  </si>
  <si>
    <t>Keukeninrichting</t>
  </si>
  <si>
    <t>Keukeninventaris</t>
  </si>
  <si>
    <t>Flipover</t>
  </si>
  <si>
    <t>Saldo Vastgoed</t>
  </si>
  <si>
    <t>Vastgoed</t>
  </si>
  <si>
    <t>Internet</t>
  </si>
  <si>
    <t>E-mail</t>
  </si>
  <si>
    <t>Overig</t>
  </si>
  <si>
    <t xml:space="preserve">Elektronisch whitebord </t>
  </si>
  <si>
    <t>Onderhoudskosten per jaar (1,5%)</t>
  </si>
  <si>
    <t>Opslag BTW</t>
  </si>
  <si>
    <t>1100 liter Lediging 1 maal per week</t>
  </si>
  <si>
    <t>geen</t>
  </si>
  <si>
    <t>ACCRES (semi+multif.)</t>
  </si>
  <si>
    <t>CONCEPT</t>
  </si>
  <si>
    <t>Zuid en Park - Oppervlaktes</t>
  </si>
  <si>
    <t>Beheer MFA</t>
  </si>
  <si>
    <t>Beheer Wijkcentrumdeel</t>
  </si>
  <si>
    <t>Beheer Wijkcentrum</t>
  </si>
  <si>
    <t>gastheerschap</t>
  </si>
  <si>
    <t>post/leveringen</t>
  </si>
  <si>
    <t>regie schoonmaak en afvalverwerking</t>
  </si>
  <si>
    <t>regie ontruiming</t>
  </si>
  <si>
    <t>aannemen/oplossen/doorverwijzen klachten</t>
  </si>
  <si>
    <t>Gemeente</t>
  </si>
  <si>
    <t>School</t>
  </si>
  <si>
    <t>Gebouwafhankelijke vergoeding afgerond incl. BTW</t>
  </si>
  <si>
    <t>Gebouwafhankelijke vergoeding afgerond excl. BTW</t>
  </si>
  <si>
    <t>Grondkosten</t>
  </si>
  <si>
    <t>Sloop</t>
  </si>
  <si>
    <t>Parkeren</t>
  </si>
  <si>
    <t>Inrichting</t>
  </si>
  <si>
    <t xml:space="preserve">Stichtingskosten </t>
  </si>
  <si>
    <t>excl. BTW</t>
  </si>
  <si>
    <t>Bouwkosten</t>
  </si>
  <si>
    <t>Tot. stichtingskosten</t>
  </si>
  <si>
    <t>incl. BTW</t>
  </si>
  <si>
    <t>Restwaarde na 40 jaar</t>
  </si>
  <si>
    <t>Overig verhuur</t>
  </si>
  <si>
    <t>Zuid en Park - Totaaloverzicht Kosten en Opbrengsten</t>
  </si>
  <si>
    <t>Eigenaarslasten</t>
  </si>
  <si>
    <t>Overige publiekrechtelijke heffingen</t>
  </si>
  <si>
    <t>Klachten- en meerjarenonderhoud</t>
  </si>
  <si>
    <t>Totale eigenaarslasten</t>
  </si>
  <si>
    <t>Sevicekosten</t>
  </si>
  <si>
    <t>Totale servicekosten</t>
  </si>
  <si>
    <t>Inkomsten</t>
  </si>
  <si>
    <t>Inkomsten servicekosten</t>
  </si>
  <si>
    <t>Verhuur zaalruimtes</t>
  </si>
  <si>
    <t>Rijksvergoeding</t>
  </si>
  <si>
    <t>Gemeentelijke bijdrage onderhoud</t>
  </si>
  <si>
    <t>Totale inkomsten</t>
  </si>
  <si>
    <t>Eindresultaat</t>
  </si>
  <si>
    <t>School Sebastiaam</t>
  </si>
  <si>
    <t>Kostenverdeling Overige publierechtelijke heffingen</t>
  </si>
  <si>
    <t xml:space="preserve">Gemeente </t>
  </si>
  <si>
    <t>Inkomsten Horeca</t>
  </si>
  <si>
    <t>Restwaarde MFC na 40 jaar</t>
  </si>
  <si>
    <t>grondkosten</t>
  </si>
  <si>
    <t>niet geïndexeerd</t>
  </si>
  <si>
    <t>Grondoppervlak</t>
  </si>
  <si>
    <t>Grondprijs</t>
  </si>
  <si>
    <r>
      <t>per m</t>
    </r>
    <r>
      <rPr>
        <vertAlign val="superscript"/>
        <sz val="10"/>
        <rFont val="Arial"/>
        <family val="2"/>
      </rPr>
      <t>2</t>
    </r>
  </si>
  <si>
    <t>CJG</t>
  </si>
  <si>
    <t>per m2/VVO</t>
  </si>
  <si>
    <t>VVO</t>
  </si>
  <si>
    <t>Prijs per m2/VVO</t>
  </si>
  <si>
    <t>Percentages</t>
  </si>
  <si>
    <t>Rijksvergoeding gebouwafh. kosten Pestalozzi.</t>
  </si>
  <si>
    <t>Rijksvergoeding gebouwafh. Kosten Sebastiaanschool.</t>
  </si>
  <si>
    <t>CPI -  index</t>
  </si>
  <si>
    <t>Huurverhoging</t>
  </si>
  <si>
    <t>1 januari 2006</t>
  </si>
  <si>
    <t>1 januari 2007</t>
  </si>
  <si>
    <t>2006 -&gt; 2007</t>
  </si>
  <si>
    <t>Kinderopvang OOK, CODA (Biliotheek), Verian en CJG (niet van scholen en wijkcentrum)</t>
  </si>
  <si>
    <t>VVO - Netto vloeroppervlakte minus verkeers- en techniekruimten</t>
  </si>
  <si>
    <t>VVO - Netto vloeropp. Min. verkeers- en techniekruimten</t>
  </si>
  <si>
    <t>Metode 2: Gecalculeerde uren</t>
  </si>
  <si>
    <t>Bron: Gemeente Apeldoorn</t>
  </si>
  <si>
    <t xml:space="preserve">Indexering 2007 </t>
  </si>
  <si>
    <t>Indexering onderwijs</t>
  </si>
  <si>
    <t xml:space="preserve"> = Niet meegenomen in het totaal. Verdisconteerd over Scholen en ACCRES.</t>
  </si>
  <si>
    <t>School Pestalozzi *</t>
  </si>
  <si>
    <t>School Het Kompas *</t>
  </si>
  <si>
    <t>School Sebastiaan *</t>
  </si>
  <si>
    <t>ACCRES + Semi + Multifunctioneel *</t>
  </si>
  <si>
    <t xml:space="preserve"> * Scholen inclusief 67% Semi-Multifunctioneel naar rato vloeroppervlak</t>
  </si>
  <si>
    <t xml:space="preserve">   ACCRES inclusief 33% Semi-Multifunctioneel</t>
  </si>
  <si>
    <t>Projectkosten Nieuwbouw</t>
  </si>
  <si>
    <t>Uitgangspunt Investeringsoverzicht ICS Adviseurs 16-12-2005</t>
  </si>
  <si>
    <t>School Pestalozzi*</t>
  </si>
  <si>
    <t>School Het Kompas*</t>
  </si>
  <si>
    <t>School Sebastiaan*</t>
  </si>
  <si>
    <t>ACCRES + Semi + Multifunctioneel*</t>
  </si>
  <si>
    <t>per jaar incl. servicekosten (bron - Tabblad 10A)</t>
  </si>
  <si>
    <t>Overige publierechtelijke heffingen</t>
  </si>
  <si>
    <t>Afvalverwerking</t>
  </si>
  <si>
    <t>Verschil</t>
  </si>
  <si>
    <t>incl. Alg. Ruimte</t>
  </si>
  <si>
    <t>Werkelijk</t>
  </si>
  <si>
    <r>
      <t>Oppervlakte in m</t>
    </r>
    <r>
      <rPr>
        <b/>
        <vertAlign val="superscript"/>
        <sz val="10"/>
        <rFont val="Arial"/>
        <family val="2"/>
      </rPr>
      <t>2</t>
    </r>
  </si>
  <si>
    <t>Werkelijk (exploitatieopzet)</t>
  </si>
  <si>
    <t>Beschikbaar (vergoedingen)</t>
  </si>
  <si>
    <t>Percentage beschikbaar t.o.v. werkelijk</t>
  </si>
  <si>
    <t>(Onderhouds) Beheer</t>
  </si>
  <si>
    <t>Belastingen en heffingen (gebruiksdeel) incl. OZB</t>
  </si>
  <si>
    <t>Klachten- en meerjarenonderhoud (gem deel)</t>
  </si>
  <si>
    <t>Klachten- en meerjarenonderhoud (Rijksvergoeding)</t>
  </si>
  <si>
    <t>Incl. 1,56 %</t>
  </si>
  <si>
    <t>Minus 19% BTW</t>
  </si>
  <si>
    <t>Zuid en Park - Analyse Kosten en Opbrengsten scholen</t>
  </si>
</sst>
</file>

<file path=xl/styles.xml><?xml version="1.0" encoding="utf-8"?>
<styleSheet xmlns="http://schemas.openxmlformats.org/spreadsheetml/2006/main">
  <numFmts count="6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  <numFmt numFmtId="173" formatCode="0.00000"/>
    <numFmt numFmtId="174" formatCode="0.0000"/>
    <numFmt numFmtId="175" formatCode="0.0"/>
    <numFmt numFmtId="176" formatCode="_-&quot;€&quot;\ * #,##0.0_-;_-&quot;€&quot;\ * #,##0.0\-;_-&quot;€&quot;\ * &quot;-&quot;??_-;_-@_-"/>
    <numFmt numFmtId="177" formatCode="_-&quot;€&quot;\ * #,##0_-;_-&quot;€&quot;\ * #,##0\-;_-&quot;€&quot;\ * &quot;-&quot;??_-;_-@_-"/>
    <numFmt numFmtId="178" formatCode="h:mm;@"/>
    <numFmt numFmtId="179" formatCode="_-&quot;€&quot;\ * #,##0.000_-;_-&quot;€&quot;\ * #,##0.000\-;_-&quot;€&quot;\ * &quot;-&quot;??_-;_-@_-"/>
    <numFmt numFmtId="180" formatCode="#,##0.00_-"/>
    <numFmt numFmtId="181" formatCode="&quot;fl&quot;\ #,##0_-;&quot;fl&quot;\ #,##0\-"/>
    <numFmt numFmtId="182" formatCode="&quot;fl&quot;\ #,##0_-;[Red]&quot;fl&quot;\ #,##0\-"/>
    <numFmt numFmtId="183" formatCode="&quot;fl&quot;\ #,##0.00_-;&quot;fl&quot;\ #,##0.00\-"/>
    <numFmt numFmtId="184" formatCode="&quot;fl&quot;\ #,##0.00_-;[Red]&quot;fl&quot;\ #,##0.00\-"/>
    <numFmt numFmtId="185" formatCode="_-&quot;fl&quot;\ * #,##0_-;_-&quot;fl&quot;\ * #,##0\-;_-&quot;fl&quot;\ * &quot;-&quot;_-;_-@_-"/>
    <numFmt numFmtId="186" formatCode="_-&quot;fl&quot;\ * #,##0.00_-;_-&quot;fl&quot;\ * #,##0.00\-;_-&quot;fl&quot;\ * &quot;-&quot;??_-;_-@_-"/>
    <numFmt numFmtId="187" formatCode="d/mmm/yyyy"/>
    <numFmt numFmtId="188" formatCode="#,##0.000000"/>
    <numFmt numFmtId="189" formatCode="0.000000"/>
    <numFmt numFmtId="190" formatCode="0;[Red]0"/>
    <numFmt numFmtId="191" formatCode="[$€-2]\ #,##0.00;[Red][$€-2]\ #,##0.00"/>
    <numFmt numFmtId="192" formatCode="0.00;[Red]0.00"/>
    <numFmt numFmtId="193" formatCode="&quot;€&quot;\ #,##0_-"/>
    <numFmt numFmtId="194" formatCode="_-* #,##0.0_-;_-* #,##0.0\-;_-* &quot;-&quot;??_-;_-@_-"/>
    <numFmt numFmtId="195" formatCode="#,##0_ ;[Red]\-#,##0\ "/>
    <numFmt numFmtId="196" formatCode="#,##0;[Red]#,##0"/>
    <numFmt numFmtId="197" formatCode="0.0;[Red]0.0"/>
    <numFmt numFmtId="198" formatCode="0.0%"/>
    <numFmt numFmtId="199" formatCode="0.000%"/>
    <numFmt numFmtId="200" formatCode="0.000000000%"/>
    <numFmt numFmtId="201" formatCode="0.00000000"/>
    <numFmt numFmtId="202" formatCode="mmmm/yy"/>
    <numFmt numFmtId="203" formatCode="_-* #,##0.0_-;_-* #,##0.0\-;_-* &quot;-&quot;?_-;_-@_-"/>
    <numFmt numFmtId="204" formatCode="_-* #,##0_-;_-* #,##0\-;_-* &quot;-&quot;?_-;_-@_-"/>
    <numFmt numFmtId="205" formatCode="mmm/yyyy"/>
    <numFmt numFmtId="206" formatCode="_-&quot;€&quot;\ * #,##0.0000_-;_-&quot;€&quot;\ * #,##0.0000\-;_-&quot;€&quot;\ * &quot;-&quot;??_-;_-@_-"/>
    <numFmt numFmtId="207" formatCode="_-&quot;€&quot;\ * #,##0.00000_-;_-&quot;€&quot;\ * #,##0.00000\-;_-&quot;€&quot;\ * &quot;-&quot;??_-;_-@_-"/>
    <numFmt numFmtId="208" formatCode="_-&quot;€&quot;\ * #,##0.000000_-;_-&quot;€&quot;\ * #,##0.000000\-;_-&quot;€&quot;\ * &quot;-&quot;??_-;_-@_-"/>
    <numFmt numFmtId="209" formatCode="_-&quot;€&quot;\ * #,##0_-;[Red]_-&quot;€&quot;\ * #,##0\-;[Red]_-&quot;€&quot;\ * &quot;-&quot;??_-;_-@_-"/>
    <numFmt numFmtId="210" formatCode="[$€-2]\ #,##0_-"/>
    <numFmt numFmtId="211" formatCode="0.0000000"/>
    <numFmt numFmtId="212" formatCode="0.0000%"/>
    <numFmt numFmtId="213" formatCode="_-&quot;€&quot;\ * #,##0.0_-;[Red]_-&quot;€&quot;\ * #,##0.0\-;[Red]_-&quot;€&quot;\ * &quot;-&quot;??_-;_-@_-"/>
    <numFmt numFmtId="214" formatCode="_-&quot;€&quot;\ * #,##0.00_-;[Red]_-&quot;€&quot;\ * #,##0.00\-;[Red]_-&quot;€&quot;\ * &quot;-&quot;??_-;_-@_-"/>
    <numFmt numFmtId="215" formatCode="_-* #,##0_-;_-* #,##0\-;_-* &quot;-&quot;??_-;_-@_-"/>
    <numFmt numFmtId="216" formatCode="0.0000000000"/>
    <numFmt numFmtId="217" formatCode="0.000000000"/>
    <numFmt numFmtId="218" formatCode="_-* #,##0.000_-;_-* #,##0.000\-;_-* &quot;-&quot;??_-;_-@_-"/>
    <numFmt numFmtId="219" formatCode="_-* #,##0.0000_-;_-* #,##0.0000\-;_-* &quot;-&quot;??_-;_-@_-"/>
    <numFmt numFmtId="220" formatCode="[$-413]dddd\ d\ mmmm\ yyyy"/>
    <numFmt numFmtId="221" formatCode="#,##0.0"/>
    <numFmt numFmtId="222" formatCode="_-[$€-2]\ * #,##0.00_-;_-[$€-2]\ * #,##0.00\-;_-[$€-2]\ * &quot;-&quot;_-;_-@_-"/>
    <numFmt numFmtId="223" formatCode="_-[$€-2]\ * #,##0_-;_-[$€-2]\ * #,##0\-;_-[$€-2]\ * &quot;-&quot;_-;_-@_-"/>
    <numFmt numFmtId="224" formatCode="#,##0.00_ ;\-#,##0.00\ 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1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i/>
      <u val="single"/>
      <sz val="10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6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05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3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29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30" xfId="0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27" xfId="0" applyFill="1" applyBorder="1" applyAlignment="1">
      <alignment/>
    </xf>
    <xf numFmtId="177" fontId="0" fillId="0" borderId="28" xfId="41" applyNumberFormat="1" applyFont="1" applyBorder="1" applyAlignment="1">
      <alignment/>
    </xf>
    <xf numFmtId="177" fontId="1" fillId="0" borderId="2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9" fontId="0" fillId="0" borderId="28" xfId="0" applyNumberForma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33" borderId="14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8" xfId="0" applyFill="1" applyBorder="1" applyAlignment="1">
      <alignment/>
    </xf>
    <xf numFmtId="0" fontId="5" fillId="0" borderId="0" xfId="0" applyFont="1" applyAlignment="1">
      <alignment/>
    </xf>
    <xf numFmtId="1" fontId="0" fillId="0" borderId="0" xfId="56" applyNumberFormat="1" applyFill="1" applyBorder="1" applyAlignment="1">
      <alignment/>
    </xf>
    <xf numFmtId="177" fontId="0" fillId="0" borderId="13" xfId="41" applyNumberFormat="1" applyBorder="1" applyAlignment="1">
      <alignment/>
    </xf>
    <xf numFmtId="177" fontId="0" fillId="0" borderId="28" xfId="41" applyNumberFormat="1" applyBorder="1" applyAlignment="1">
      <alignment/>
    </xf>
    <xf numFmtId="9" fontId="0" fillId="0" borderId="0" xfId="56" applyAlignment="1">
      <alignment/>
    </xf>
    <xf numFmtId="177" fontId="0" fillId="0" borderId="28" xfId="0" applyNumberFormat="1" applyBorder="1" applyAlignment="1">
      <alignment/>
    </xf>
    <xf numFmtId="9" fontId="0" fillId="0" borderId="28" xfId="56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0" fillId="0" borderId="14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0" fillId="35" borderId="22" xfId="0" applyFill="1" applyBorder="1" applyAlignment="1">
      <alignment/>
    </xf>
    <xf numFmtId="1" fontId="0" fillId="0" borderId="0" xfId="56" applyNumberFormat="1" applyFont="1" applyFill="1" applyBorder="1" applyAlignment="1" quotePrefix="1">
      <alignment/>
    </xf>
    <xf numFmtId="1" fontId="0" fillId="35" borderId="32" xfId="56" applyNumberFormat="1" applyFill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9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3" xfId="0" applyFill="1" applyBorder="1" applyAlignment="1">
      <alignment/>
    </xf>
    <xf numFmtId="177" fontId="0" fillId="0" borderId="13" xfId="0" applyNumberFormat="1" applyBorder="1" applyAlignment="1">
      <alignment/>
    </xf>
    <xf numFmtId="170" fontId="0" fillId="0" borderId="26" xfId="41" applyFont="1" applyBorder="1" applyAlignment="1">
      <alignment/>
    </xf>
    <xf numFmtId="170" fontId="0" fillId="0" borderId="25" xfId="41" applyFont="1" applyBorder="1" applyAlignment="1">
      <alignment/>
    </xf>
    <xf numFmtId="170" fontId="0" fillId="0" borderId="22" xfId="41" applyFont="1" applyBorder="1" applyAlignment="1">
      <alignment/>
    </xf>
    <xf numFmtId="170" fontId="0" fillId="0" borderId="30" xfId="41" applyFont="1" applyBorder="1" applyAlignment="1">
      <alignment/>
    </xf>
    <xf numFmtId="177" fontId="0" fillId="0" borderId="18" xfId="41" applyNumberFormat="1" applyFont="1" applyBorder="1" applyAlignment="1">
      <alignment/>
    </xf>
    <xf numFmtId="177" fontId="0" fillId="0" borderId="21" xfId="41" applyNumberFormat="1" applyFont="1" applyBorder="1" applyAlignment="1">
      <alignment/>
    </xf>
    <xf numFmtId="177" fontId="0" fillId="0" borderId="19" xfId="41" applyNumberFormat="1" applyFont="1" applyBorder="1" applyAlignment="1">
      <alignment/>
    </xf>
    <xf numFmtId="170" fontId="0" fillId="0" borderId="21" xfId="41" applyFont="1" applyBorder="1" applyAlignment="1">
      <alignment/>
    </xf>
    <xf numFmtId="180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0" fillId="0" borderId="0" xfId="41" applyFont="1" applyAlignment="1">
      <alignment/>
    </xf>
    <xf numFmtId="177" fontId="0" fillId="0" borderId="0" xfId="41" applyNumberFormat="1" applyFont="1" applyAlignment="1">
      <alignment/>
    </xf>
    <xf numFmtId="177" fontId="0" fillId="0" borderId="14" xfId="41" applyNumberFormat="1" applyFont="1" applyBorder="1" applyAlignment="1">
      <alignment/>
    </xf>
    <xf numFmtId="177" fontId="0" fillId="0" borderId="22" xfId="41" applyNumberFormat="1" applyFont="1" applyBorder="1" applyAlignment="1">
      <alignment/>
    </xf>
    <xf numFmtId="177" fontId="0" fillId="0" borderId="26" xfId="41" applyNumberFormat="1" applyFon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19" xfId="0" applyNumberFormat="1" applyBorder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0" fontId="0" fillId="0" borderId="0" xfId="56" applyNumberFormat="1" applyFont="1" applyAlignment="1">
      <alignment/>
    </xf>
    <xf numFmtId="170" fontId="0" fillId="0" borderId="0" xfId="60" applyFont="1" applyAlignment="1">
      <alignment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87" fontId="10" fillId="33" borderId="0" xfId="0" applyNumberFormat="1" applyFont="1" applyFill="1" applyBorder="1" applyAlignment="1" applyProtection="1">
      <alignment horizontal="left"/>
      <protection/>
    </xf>
    <xf numFmtId="0" fontId="10" fillId="33" borderId="33" xfId="0" applyFont="1" applyFill="1" applyBorder="1" applyAlignment="1" applyProtection="1">
      <alignment/>
      <protection/>
    </xf>
    <xf numFmtId="0" fontId="11" fillId="33" borderId="33" xfId="0" applyFont="1" applyFill="1" applyBorder="1" applyAlignment="1" applyProtection="1">
      <alignment horizontal="left"/>
      <protection/>
    </xf>
    <xf numFmtId="188" fontId="10" fillId="33" borderId="33" xfId="0" applyNumberFormat="1" applyFont="1" applyFill="1" applyBorder="1" applyAlignment="1" applyProtection="1">
      <alignment/>
      <protection/>
    </xf>
    <xf numFmtId="0" fontId="10" fillId="33" borderId="33" xfId="0" applyFont="1" applyFill="1" applyBorder="1" applyAlignment="1" applyProtection="1">
      <alignment horizontal="left"/>
      <protection/>
    </xf>
    <xf numFmtId="187" fontId="10" fillId="33" borderId="33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6" borderId="34" xfId="0" applyFill="1" applyBorder="1" applyAlignment="1" applyProtection="1">
      <alignment/>
      <protection/>
    </xf>
    <xf numFmtId="0" fontId="0" fillId="36" borderId="35" xfId="0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177" fontId="0" fillId="36" borderId="37" xfId="0" applyNumberForma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177" fontId="0" fillId="0" borderId="0" xfId="60" applyNumberFormat="1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70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9" fontId="0" fillId="0" borderId="43" xfId="0" applyNumberFormat="1" applyBorder="1" applyAlignment="1">
      <alignment horizontal="center"/>
    </xf>
    <xf numFmtId="9" fontId="0" fillId="0" borderId="20" xfId="56" applyFont="1" applyBorder="1" applyAlignment="1">
      <alignment horizontal="center"/>
    </xf>
    <xf numFmtId="9" fontId="0" fillId="0" borderId="23" xfId="56" applyFont="1" applyBorder="1" applyAlignment="1">
      <alignment horizontal="center"/>
    </xf>
    <xf numFmtId="9" fontId="0" fillId="0" borderId="17" xfId="56" applyFont="1" applyBorder="1" applyAlignment="1">
      <alignment horizontal="center"/>
    </xf>
    <xf numFmtId="177" fontId="0" fillId="0" borderId="0" xfId="41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 horizontal="center"/>
    </xf>
    <xf numFmtId="178" fontId="0" fillId="0" borderId="46" xfId="0" applyNumberFormat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32" xfId="0" applyBorder="1" applyAlignment="1">
      <alignment horizontal="center"/>
    </xf>
    <xf numFmtId="178" fontId="0" fillId="0" borderId="48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50" xfId="0" applyBorder="1" applyAlignment="1">
      <alignment horizontal="center"/>
    </xf>
    <xf numFmtId="178" fontId="0" fillId="0" borderId="51" xfId="0" applyNumberFormat="1" applyBorder="1" applyAlignment="1">
      <alignment/>
    </xf>
    <xf numFmtId="0" fontId="1" fillId="0" borderId="23" xfId="0" applyFont="1" applyFill="1" applyBorder="1" applyAlignment="1">
      <alignment/>
    </xf>
    <xf numFmtId="178" fontId="1" fillId="0" borderId="29" xfId="0" applyNumberFormat="1" applyFont="1" applyBorder="1" applyAlignment="1">
      <alignment horizontal="center"/>
    </xf>
    <xf numFmtId="0" fontId="1" fillId="33" borderId="29" xfId="0" applyFont="1" applyFill="1" applyBorder="1" applyAlignment="1">
      <alignment/>
    </xf>
    <xf numFmtId="178" fontId="1" fillId="0" borderId="24" xfId="0" applyNumberFormat="1" applyFont="1" applyBorder="1" applyAlignment="1">
      <alignment/>
    </xf>
    <xf numFmtId="178" fontId="1" fillId="0" borderId="27" xfId="0" applyNumberFormat="1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1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29" xfId="0" applyNumberFormat="1" applyBorder="1" applyAlignment="1">
      <alignment/>
    </xf>
    <xf numFmtId="1" fontId="0" fillId="0" borderId="12" xfId="56" applyNumberFormat="1" applyFill="1" applyBorder="1" applyAlignment="1">
      <alignment/>
    </xf>
    <xf numFmtId="9" fontId="0" fillId="0" borderId="32" xfId="56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9" fontId="1" fillId="0" borderId="14" xfId="56" applyFont="1" applyBorder="1" applyAlignment="1">
      <alignment/>
    </xf>
    <xf numFmtId="9" fontId="0" fillId="0" borderId="29" xfId="56" applyFont="1" applyBorder="1" applyAlignment="1">
      <alignment/>
    </xf>
    <xf numFmtId="177" fontId="11" fillId="0" borderId="29" xfId="0" applyNumberFormat="1" applyFont="1" applyBorder="1" applyAlignment="1">
      <alignment/>
    </xf>
    <xf numFmtId="9" fontId="0" fillId="0" borderId="20" xfId="56" applyNumberFormat="1" applyFont="1" applyBorder="1" applyAlignment="1">
      <alignment horizontal="center"/>
    </xf>
    <xf numFmtId="9" fontId="0" fillId="35" borderId="22" xfId="56" applyFill="1" applyBorder="1" applyAlignment="1">
      <alignment horizontal="center"/>
    </xf>
    <xf numFmtId="9" fontId="0" fillId="35" borderId="21" xfId="56" applyFill="1" applyBorder="1" applyAlignment="1">
      <alignment horizontal="center"/>
    </xf>
    <xf numFmtId="9" fontId="0" fillId="35" borderId="26" xfId="56" applyFill="1" applyBorder="1" applyAlignment="1">
      <alignment horizontal="center"/>
    </xf>
    <xf numFmtId="9" fontId="0" fillId="35" borderId="19" xfId="56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9" fontId="0" fillId="0" borderId="15" xfId="56" applyNumberFormat="1" applyFont="1" applyBorder="1" applyAlignment="1">
      <alignment/>
    </xf>
    <xf numFmtId="9" fontId="0" fillId="0" borderId="10" xfId="56" applyNumberFormat="1" applyFont="1" applyBorder="1" applyAlignment="1">
      <alignment/>
    </xf>
    <xf numFmtId="9" fontId="0" fillId="0" borderId="11" xfId="56" applyNumberFormat="1" applyFont="1" applyBorder="1" applyAlignment="1">
      <alignment/>
    </xf>
    <xf numFmtId="0" fontId="0" fillId="0" borderId="52" xfId="0" applyBorder="1" applyAlignment="1">
      <alignment/>
    </xf>
    <xf numFmtId="177" fontId="0" fillId="0" borderId="0" xfId="0" applyNumberFormat="1" applyAlignment="1">
      <alignment/>
    </xf>
    <xf numFmtId="177" fontId="0" fillId="0" borderId="53" xfId="0" applyNumberFormat="1" applyBorder="1" applyAlignment="1">
      <alignment/>
    </xf>
    <xf numFmtId="177" fontId="0" fillId="0" borderId="52" xfId="0" applyNumberFormat="1" applyBorder="1" applyAlignment="1">
      <alignment/>
    </xf>
    <xf numFmtId="177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177" fontId="1" fillId="0" borderId="29" xfId="41" applyNumberFormat="1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177" fontId="1" fillId="0" borderId="55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1" fillId="0" borderId="31" xfId="0" applyNumberFormat="1" applyFont="1" applyBorder="1" applyAlignment="1">
      <alignment/>
    </xf>
    <xf numFmtId="177" fontId="0" fillId="0" borderId="10" xfId="41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9" fontId="0" fillId="0" borderId="0" xfId="56" applyFont="1" applyAlignment="1">
      <alignment/>
    </xf>
    <xf numFmtId="1" fontId="0" fillId="0" borderId="15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60" applyNumberFormat="1" applyFill="1" applyBorder="1" applyAlignment="1" applyProtection="1">
      <alignment/>
      <protection locked="0"/>
    </xf>
    <xf numFmtId="0" fontId="0" fillId="0" borderId="57" xfId="0" applyBorder="1" applyAlignment="1">
      <alignment/>
    </xf>
    <xf numFmtId="170" fontId="0" fillId="0" borderId="18" xfId="41" applyFont="1" applyBorder="1" applyAlignment="1">
      <alignment/>
    </xf>
    <xf numFmtId="170" fontId="0" fillId="0" borderId="19" xfId="41" applyFont="1" applyBorder="1" applyAlignment="1">
      <alignment/>
    </xf>
    <xf numFmtId="177" fontId="0" fillId="0" borderId="24" xfId="41" applyNumberFormat="1" applyFont="1" applyBorder="1" applyAlignment="1">
      <alignment/>
    </xf>
    <xf numFmtId="177" fontId="0" fillId="0" borderId="18" xfId="0" applyNumberFormat="1" applyBorder="1" applyAlignment="1">
      <alignment/>
    </xf>
    <xf numFmtId="177" fontId="1" fillId="0" borderId="24" xfId="0" applyNumberFormat="1" applyFont="1" applyBorder="1" applyAlignment="1">
      <alignment/>
    </xf>
    <xf numFmtId="214" fontId="0" fillId="0" borderId="0" xfId="0" applyNumberFormat="1" applyAlignment="1" applyProtection="1">
      <alignment/>
      <protection/>
    </xf>
    <xf numFmtId="1" fontId="0" fillId="0" borderId="18" xfId="0" applyNumberFormat="1" applyBorder="1" applyAlignment="1">
      <alignment/>
    </xf>
    <xf numFmtId="1" fontId="0" fillId="0" borderId="21" xfId="0" applyNumberFormat="1" applyBorder="1" applyAlignment="1">
      <alignment/>
    </xf>
    <xf numFmtId="215" fontId="0" fillId="0" borderId="21" xfId="47" applyNumberFormat="1" applyFont="1" applyBorder="1" applyAlignment="1">
      <alignment/>
    </xf>
    <xf numFmtId="170" fontId="0" fillId="0" borderId="18" xfId="0" applyNumberFormat="1" applyBorder="1" applyAlignment="1">
      <alignment/>
    </xf>
    <xf numFmtId="170" fontId="0" fillId="0" borderId="21" xfId="0" applyNumberFormat="1" applyBorder="1" applyAlignment="1">
      <alignment/>
    </xf>
    <xf numFmtId="170" fontId="0" fillId="0" borderId="19" xfId="0" applyNumberFormat="1" applyBorder="1" applyAlignment="1">
      <alignment/>
    </xf>
    <xf numFmtId="171" fontId="0" fillId="0" borderId="58" xfId="47" applyNumberFormat="1" applyFont="1" applyBorder="1" applyAlignment="1">
      <alignment/>
    </xf>
    <xf numFmtId="167" fontId="1" fillId="0" borderId="0" xfId="0" applyNumberFormat="1" applyFont="1" applyAlignment="1">
      <alignment/>
    </xf>
    <xf numFmtId="199" fontId="0" fillId="0" borderId="0" xfId="56" applyNumberFormat="1" applyFont="1" applyAlignment="1">
      <alignment/>
    </xf>
    <xf numFmtId="212" fontId="0" fillId="0" borderId="0" xfId="56" applyNumberFormat="1" applyFont="1" applyAlignment="1">
      <alignment/>
    </xf>
    <xf numFmtId="219" fontId="0" fillId="0" borderId="0" xfId="47" applyNumberFormat="1" applyFont="1" applyAlignment="1">
      <alignment/>
    </xf>
    <xf numFmtId="199" fontId="0" fillId="0" borderId="21" xfId="0" applyNumberFormat="1" applyBorder="1" applyAlignment="1">
      <alignment/>
    </xf>
    <xf numFmtId="177" fontId="1" fillId="0" borderId="0" xfId="0" applyNumberFormat="1" applyFont="1" applyBorder="1" applyAlignment="1">
      <alignment/>
    </xf>
    <xf numFmtId="170" fontId="0" fillId="0" borderId="19" xfId="41" applyBorder="1" applyAlignment="1">
      <alignment/>
    </xf>
    <xf numFmtId="170" fontId="1" fillId="0" borderId="43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170" fontId="0" fillId="0" borderId="43" xfId="0" applyNumberFormat="1" applyBorder="1" applyAlignment="1">
      <alignment/>
    </xf>
    <xf numFmtId="0" fontId="0" fillId="0" borderId="59" xfId="0" applyBorder="1" applyAlignment="1">
      <alignment/>
    </xf>
    <xf numFmtId="170" fontId="0" fillId="0" borderId="28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4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14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0" fontId="1" fillId="0" borderId="29" xfId="0" applyNumberFormat="1" applyFont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25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5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170" fontId="15" fillId="33" borderId="26" xfId="41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5" fillId="33" borderId="54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5" fillId="33" borderId="24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0" fontId="14" fillId="33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0" fillId="0" borderId="0" xfId="41" applyFont="1" applyBorder="1" applyAlignment="1">
      <alignment/>
    </xf>
    <xf numFmtId="177" fontId="1" fillId="0" borderId="0" xfId="41" applyNumberFormat="1" applyFont="1" applyBorder="1" applyAlignment="1">
      <alignment/>
    </xf>
    <xf numFmtId="0" fontId="14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5" fillId="33" borderId="29" xfId="0" applyFont="1" applyFill="1" applyBorder="1" applyAlignment="1">
      <alignment/>
    </xf>
    <xf numFmtId="1" fontId="1" fillId="0" borderId="24" xfId="0" applyNumberFormat="1" applyFont="1" applyBorder="1" applyAlignment="1">
      <alignment/>
    </xf>
    <xf numFmtId="0" fontId="14" fillId="33" borderId="28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177" fontId="0" fillId="0" borderId="22" xfId="0" applyNumberFormat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177" fontId="1" fillId="0" borderId="24" xfId="41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70" fontId="0" fillId="0" borderId="13" xfId="0" applyNumberFormat="1" applyBorder="1" applyAlignment="1">
      <alignment/>
    </xf>
    <xf numFmtId="170" fontId="0" fillId="0" borderId="14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7" fontId="0" fillId="0" borderId="18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19" xfId="0" applyNumberFormat="1" applyBorder="1" applyAlignment="1">
      <alignment/>
    </xf>
    <xf numFmtId="0" fontId="14" fillId="33" borderId="59" xfId="0" applyFont="1" applyFill="1" applyBorder="1" applyAlignment="1">
      <alignment/>
    </xf>
    <xf numFmtId="177" fontId="0" fillId="0" borderId="29" xfId="41" applyNumberFormat="1" applyFont="1" applyBorder="1" applyAlignment="1">
      <alignment/>
    </xf>
    <xf numFmtId="177" fontId="0" fillId="0" borderId="27" xfId="41" applyNumberFormat="1" applyFont="1" applyBorder="1" applyAlignment="1">
      <alignment/>
    </xf>
    <xf numFmtId="177" fontId="0" fillId="0" borderId="30" xfId="41" applyNumberFormat="1" applyFont="1" applyBorder="1" applyAlignment="1">
      <alignment/>
    </xf>
    <xf numFmtId="0" fontId="14" fillId="33" borderId="27" xfId="0" applyFont="1" applyFill="1" applyBorder="1" applyAlignment="1">
      <alignment/>
    </xf>
    <xf numFmtId="10" fontId="0" fillId="33" borderId="31" xfId="56" applyNumberFormat="1" applyFill="1" applyBorder="1" applyAlignment="1">
      <alignment/>
    </xf>
    <xf numFmtId="0" fontId="0" fillId="33" borderId="31" xfId="0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10" fontId="0" fillId="33" borderId="30" xfId="56" applyNumberFormat="1" applyFont="1" applyFill="1" applyBorder="1" applyAlignment="1">
      <alignment/>
    </xf>
    <xf numFmtId="4" fontId="0" fillId="0" borderId="0" xfId="0" applyNumberFormat="1" applyAlignment="1">
      <alignment/>
    </xf>
    <xf numFmtId="9" fontId="0" fillId="0" borderId="21" xfId="56" applyFont="1" applyBorder="1" applyAlignment="1">
      <alignment/>
    </xf>
    <xf numFmtId="10" fontId="0" fillId="0" borderId="21" xfId="56" applyNumberFormat="1" applyFont="1" applyBorder="1" applyAlignment="1">
      <alignment/>
    </xf>
    <xf numFmtId="0" fontId="0" fillId="33" borderId="0" xfId="0" applyFill="1" applyAlignment="1">
      <alignment/>
    </xf>
    <xf numFmtId="9" fontId="0" fillId="34" borderId="22" xfId="56" applyFill="1" applyBorder="1" applyAlignment="1">
      <alignment horizontal="center"/>
    </xf>
    <xf numFmtId="9" fontId="0" fillId="34" borderId="21" xfId="56" applyFill="1" applyBorder="1" applyAlignment="1">
      <alignment horizontal="center"/>
    </xf>
    <xf numFmtId="9" fontId="0" fillId="34" borderId="19" xfId="56" applyFill="1" applyBorder="1" applyAlignment="1">
      <alignment horizontal="center"/>
    </xf>
    <xf numFmtId="9" fontId="0" fillId="34" borderId="30" xfId="0" applyNumberFormat="1" applyFill="1" applyBorder="1" applyAlignment="1">
      <alignment horizontal="center"/>
    </xf>
    <xf numFmtId="9" fontId="0" fillId="34" borderId="24" xfId="0" applyNumberFormat="1" applyFill="1" applyBorder="1" applyAlignment="1">
      <alignment horizontal="center"/>
    </xf>
    <xf numFmtId="9" fontId="0" fillId="33" borderId="23" xfId="56" applyFont="1" applyFill="1" applyBorder="1" applyAlignment="1">
      <alignment horizontal="center"/>
    </xf>
    <xf numFmtId="9" fontId="0" fillId="33" borderId="30" xfId="56" applyFill="1" applyBorder="1" applyAlignment="1">
      <alignment horizontal="center"/>
    </xf>
    <xf numFmtId="9" fontId="0" fillId="33" borderId="24" xfId="56" applyFill="1" applyBorder="1" applyAlignment="1">
      <alignment horizontal="center"/>
    </xf>
    <xf numFmtId="9" fontId="0" fillId="33" borderId="59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4" fillId="33" borderId="19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30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59" xfId="0" applyFont="1" applyFill="1" applyBorder="1" applyAlignment="1">
      <alignment/>
    </xf>
    <xf numFmtId="0" fontId="15" fillId="33" borderId="25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60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43" xfId="0" applyFont="1" applyFill="1" applyBorder="1" applyAlignment="1">
      <alignment/>
    </xf>
    <xf numFmtId="0" fontId="15" fillId="33" borderId="30" xfId="0" applyFont="1" applyFill="1" applyBorder="1" applyAlignment="1">
      <alignment/>
    </xf>
    <xf numFmtId="0" fontId="0" fillId="0" borderId="0" xfId="0" applyFill="1" applyAlignment="1">
      <alignment/>
    </xf>
    <xf numFmtId="1" fontId="0" fillId="33" borderId="31" xfId="0" applyNumberFormat="1" applyFill="1" applyBorder="1" applyAlignment="1">
      <alignment/>
    </xf>
    <xf numFmtId="9" fontId="0" fillId="33" borderId="31" xfId="0" applyNumberFormat="1" applyFill="1" applyBorder="1" applyAlignment="1">
      <alignment/>
    </xf>
    <xf numFmtId="178" fontId="14" fillId="33" borderId="29" xfId="0" applyNumberFormat="1" applyFont="1" applyFill="1" applyBorder="1" applyAlignment="1">
      <alignment/>
    </xf>
    <xf numFmtId="0" fontId="0" fillId="33" borderId="33" xfId="0" applyFill="1" applyBorder="1" applyAlignment="1" applyProtection="1">
      <alignment/>
      <protection/>
    </xf>
    <xf numFmtId="177" fontId="0" fillId="0" borderId="33" xfId="60" applyNumberFormat="1" applyFont="1" applyBorder="1" applyAlignment="1" applyProtection="1">
      <alignment/>
      <protection/>
    </xf>
    <xf numFmtId="9" fontId="0" fillId="0" borderId="33" xfId="0" applyNumberFormat="1" applyFont="1" applyFill="1" applyBorder="1" applyAlignment="1" applyProtection="1">
      <alignment/>
      <protection locked="0"/>
    </xf>
    <xf numFmtId="9" fontId="0" fillId="0" borderId="18" xfId="56" applyFont="1" applyBorder="1" applyAlignment="1">
      <alignment/>
    </xf>
    <xf numFmtId="9" fontId="0" fillId="0" borderId="19" xfId="56" applyFont="1" applyBorder="1" applyAlignment="1">
      <alignment/>
    </xf>
    <xf numFmtId="9" fontId="0" fillId="0" borderId="24" xfId="56" applyFont="1" applyBorder="1" applyAlignment="1">
      <alignment/>
    </xf>
    <xf numFmtId="170" fontId="0" fillId="0" borderId="21" xfId="41" applyNumberFormat="1" applyFont="1" applyBorder="1" applyAlignment="1">
      <alignment/>
    </xf>
    <xf numFmtId="170" fontId="0" fillId="0" borderId="19" xfId="41" applyNumberFormat="1" applyFont="1" applyBorder="1" applyAlignment="1">
      <alignment/>
    </xf>
    <xf numFmtId="170" fontId="0" fillId="0" borderId="24" xfId="0" applyNumberFormat="1" applyBorder="1" applyAlignment="1">
      <alignment/>
    </xf>
    <xf numFmtId="177" fontId="0" fillId="34" borderId="13" xfId="41" applyNumberFormat="1" applyFont="1" applyFill="1" applyBorder="1" applyAlignment="1">
      <alignment/>
    </xf>
    <xf numFmtId="177" fontId="0" fillId="34" borderId="28" xfId="41" applyNumberFormat="1" applyFont="1" applyFill="1" applyBorder="1" applyAlignment="1">
      <alignment/>
    </xf>
    <xf numFmtId="177" fontId="0" fillId="34" borderId="14" xfId="41" applyNumberFormat="1" applyFont="1" applyFill="1" applyBorder="1" applyAlignment="1">
      <alignment/>
    </xf>
    <xf numFmtId="0" fontId="14" fillId="33" borderId="60" xfId="0" applyFont="1" applyFill="1" applyBorder="1" applyAlignment="1">
      <alignment/>
    </xf>
    <xf numFmtId="0" fontId="14" fillId="33" borderId="43" xfId="0" applyFont="1" applyFill="1" applyBorder="1" applyAlignment="1">
      <alignment/>
    </xf>
    <xf numFmtId="177" fontId="0" fillId="34" borderId="60" xfId="0" applyNumberFormat="1" applyFill="1" applyBorder="1" applyAlignment="1">
      <alignment/>
    </xf>
    <xf numFmtId="177" fontId="0" fillId="34" borderId="42" xfId="0" applyNumberFormat="1" applyFill="1" applyBorder="1" applyAlignment="1">
      <alignment/>
    </xf>
    <xf numFmtId="177" fontId="0" fillId="34" borderId="43" xfId="0" applyNumberForma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170" fontId="0" fillId="0" borderId="24" xfId="41" applyNumberFormat="1" applyFont="1" applyBorder="1" applyAlignment="1">
      <alignment/>
    </xf>
    <xf numFmtId="177" fontId="0" fillId="0" borderId="0" xfId="60" applyNumberFormat="1" applyFont="1" applyFill="1" applyBorder="1" applyAlignment="1" applyProtection="1">
      <alignment/>
      <protection locked="0"/>
    </xf>
    <xf numFmtId="0" fontId="0" fillId="33" borderId="61" xfId="0" applyFill="1" applyBorder="1" applyAlignment="1">
      <alignment/>
    </xf>
    <xf numFmtId="0" fontId="0" fillId="0" borderId="50" xfId="0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/>
    </xf>
    <xf numFmtId="177" fontId="0" fillId="0" borderId="21" xfId="41" applyNumberFormat="1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10" fontId="0" fillId="0" borderId="50" xfId="0" applyNumberFormat="1" applyFill="1" applyBorder="1" applyAlignment="1" applyProtection="1">
      <alignment/>
      <protection/>
    </xf>
    <xf numFmtId="10" fontId="0" fillId="0" borderId="21" xfId="0" applyNumberFormat="1" applyFont="1" applyFill="1" applyBorder="1" applyAlignment="1" applyProtection="1">
      <alignment/>
      <protection locked="0"/>
    </xf>
    <xf numFmtId="10" fontId="0" fillId="0" borderId="21" xfId="0" applyNumberFormat="1" applyFill="1" applyBorder="1" applyAlignment="1" applyProtection="1">
      <alignment/>
      <protection locked="0"/>
    </xf>
    <xf numFmtId="9" fontId="0" fillId="0" borderId="21" xfId="56" applyFont="1" applyFill="1" applyBorder="1" applyAlignment="1" applyProtection="1">
      <alignment/>
      <protection locked="0"/>
    </xf>
    <xf numFmtId="202" fontId="0" fillId="0" borderId="21" xfId="0" applyNumberForma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 horizontal="right"/>
      <protection/>
    </xf>
    <xf numFmtId="9" fontId="0" fillId="36" borderId="34" xfId="56" applyFont="1" applyFill="1" applyBorder="1" applyAlignment="1" applyProtection="1">
      <alignment horizontal="center"/>
      <protection/>
    </xf>
    <xf numFmtId="177" fontId="0" fillId="36" borderId="34" xfId="41" applyNumberFormat="1" applyFont="1" applyFill="1" applyBorder="1" applyAlignment="1" applyProtection="1">
      <alignment/>
      <protection/>
    </xf>
    <xf numFmtId="0" fontId="1" fillId="0" borderId="50" xfId="0" applyFont="1" applyBorder="1" applyAlignment="1" applyProtection="1">
      <alignment horizontal="center"/>
      <protection/>
    </xf>
    <xf numFmtId="9" fontId="0" fillId="0" borderId="21" xfId="56" applyFont="1" applyBorder="1" applyAlignment="1" applyProtection="1">
      <alignment horizontal="center"/>
      <protection/>
    </xf>
    <xf numFmtId="9" fontId="0" fillId="0" borderId="41" xfId="56" applyFont="1" applyBorder="1" applyAlignment="1" applyProtection="1">
      <alignment horizontal="center"/>
      <protection/>
    </xf>
    <xf numFmtId="177" fontId="0" fillId="0" borderId="21" xfId="0" applyNumberFormat="1" applyBorder="1" applyAlignment="1" applyProtection="1">
      <alignment/>
      <protection/>
    </xf>
    <xf numFmtId="177" fontId="0" fillId="0" borderId="41" xfId="0" applyNumberForma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177" fontId="0" fillId="0" borderId="21" xfId="41" applyNumberFormat="1" applyFont="1" applyBorder="1" applyAlignment="1" applyProtection="1">
      <alignment/>
      <protection/>
    </xf>
    <xf numFmtId="177" fontId="0" fillId="0" borderId="41" xfId="41" applyNumberFormat="1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177" fontId="0" fillId="36" borderId="62" xfId="0" applyNumberFormat="1" applyFill="1" applyBorder="1" applyAlignment="1" applyProtection="1">
      <alignment/>
      <protection/>
    </xf>
    <xf numFmtId="177" fontId="0" fillId="0" borderId="21" xfId="60" applyNumberFormat="1" applyFill="1" applyBorder="1" applyAlignment="1" applyProtection="1">
      <alignment/>
      <protection locked="0"/>
    </xf>
    <xf numFmtId="209" fontId="0" fillId="0" borderId="21" xfId="0" applyNumberFormat="1" applyFont="1" applyBorder="1" applyAlignment="1" applyProtection="1">
      <alignment/>
      <protection/>
    </xf>
    <xf numFmtId="177" fontId="0" fillId="0" borderId="21" xfId="41" applyNumberFormat="1" applyFill="1" applyBorder="1" applyAlignment="1" applyProtection="1">
      <alignment/>
      <protection locked="0"/>
    </xf>
    <xf numFmtId="209" fontId="0" fillId="0" borderId="21" xfId="0" applyNumberFormat="1" applyBorder="1" applyAlignment="1" applyProtection="1">
      <alignment/>
      <protection/>
    </xf>
    <xf numFmtId="0" fontId="0" fillId="0" borderId="50" xfId="0" applyBorder="1" applyAlignment="1" applyProtection="1">
      <alignment horizontal="right"/>
      <protection/>
    </xf>
    <xf numFmtId="3" fontId="0" fillId="0" borderId="21" xfId="0" applyNumberFormat="1" applyFill="1" applyBorder="1" applyAlignment="1" applyProtection="1">
      <alignment/>
      <protection/>
    </xf>
    <xf numFmtId="0" fontId="0" fillId="0" borderId="21" xfId="0" applyFill="1" applyBorder="1" applyAlignment="1" applyProtection="1" quotePrefix="1">
      <alignment/>
      <protection/>
    </xf>
    <xf numFmtId="0" fontId="1" fillId="0" borderId="50" xfId="0" applyFont="1" applyBorder="1" applyAlignment="1" applyProtection="1">
      <alignment horizontal="right"/>
      <protection/>
    </xf>
    <xf numFmtId="209" fontId="0" fillId="0" borderId="21" xfId="0" applyNumberFormat="1" applyFill="1" applyBorder="1" applyAlignment="1" applyProtection="1">
      <alignment/>
      <protection/>
    </xf>
    <xf numFmtId="177" fontId="0" fillId="0" borderId="41" xfId="60" applyNumberFormat="1" applyFill="1" applyBorder="1" applyAlignment="1" applyProtection="1">
      <alignment/>
      <protection locked="0"/>
    </xf>
    <xf numFmtId="0" fontId="0" fillId="0" borderId="21" xfId="0" applyBorder="1" applyAlignment="1" applyProtection="1">
      <alignment horizontal="right"/>
      <protection/>
    </xf>
    <xf numFmtId="0" fontId="0" fillId="0" borderId="21" xfId="0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36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0" fillId="36" borderId="32" xfId="0" applyFill="1" applyBorder="1" applyAlignment="1" applyProtection="1">
      <alignment/>
      <protection locked="0"/>
    </xf>
    <xf numFmtId="177" fontId="0" fillId="36" borderId="32" xfId="60" applyNumberFormat="1" applyFill="1" applyBorder="1" applyAlignment="1" applyProtection="1">
      <alignment/>
      <protection locked="0"/>
    </xf>
    <xf numFmtId="177" fontId="0" fillId="36" borderId="62" xfId="60" applyNumberFormat="1" applyFill="1" applyBorder="1" applyAlignment="1" applyProtection="1">
      <alignment/>
      <protection locked="0"/>
    </xf>
    <xf numFmtId="177" fontId="1" fillId="0" borderId="21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9" fontId="0" fillId="0" borderId="0" xfId="56" applyFont="1" applyFill="1" applyBorder="1" applyAlignment="1" applyProtection="1">
      <alignment horizontal="center"/>
      <protection/>
    </xf>
    <xf numFmtId="177" fontId="0" fillId="0" borderId="0" xfId="41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77" fontId="1" fillId="0" borderId="0" xfId="0" applyNumberFormat="1" applyFon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9" fontId="0" fillId="0" borderId="21" xfId="56" applyNumberFormat="1" applyFont="1" applyBorder="1" applyAlignment="1" applyProtection="1">
      <alignment horizontal="center"/>
      <protection/>
    </xf>
    <xf numFmtId="9" fontId="0" fillId="36" borderId="34" xfId="56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/>
    </xf>
    <xf numFmtId="17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77" fontId="0" fillId="0" borderId="12" xfId="0" applyNumberFormat="1" applyBorder="1" applyAlignment="1">
      <alignment/>
    </xf>
    <xf numFmtId="178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17" xfId="0" applyFill="1" applyBorder="1" applyAlignment="1">
      <alignment/>
    </xf>
    <xf numFmtId="9" fontId="0" fillId="0" borderId="15" xfId="56" applyFont="1" applyBorder="1" applyAlignment="1">
      <alignment/>
    </xf>
    <xf numFmtId="9" fontId="0" fillId="0" borderId="10" xfId="56" applyFont="1" applyBorder="1" applyAlignment="1">
      <alignment/>
    </xf>
    <xf numFmtId="9" fontId="0" fillId="33" borderId="31" xfId="0" applyNumberFormat="1" applyFont="1" applyFill="1" applyBorder="1" applyAlignment="1">
      <alignment/>
    </xf>
    <xf numFmtId="177" fontId="0" fillId="0" borderId="42" xfId="0" applyNumberForma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18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177" fontId="0" fillId="33" borderId="29" xfId="0" applyNumberFormat="1" applyFill="1" applyBorder="1" applyAlignment="1">
      <alignment/>
    </xf>
    <xf numFmtId="177" fontId="1" fillId="33" borderId="29" xfId="0" applyNumberFormat="1" applyFont="1" applyFill="1" applyBorder="1" applyAlignment="1">
      <alignment/>
    </xf>
    <xf numFmtId="177" fontId="0" fillId="0" borderId="57" xfId="0" applyNumberFormat="1" applyBorder="1" applyAlignment="1">
      <alignment/>
    </xf>
    <xf numFmtId="177" fontId="0" fillId="0" borderId="25" xfId="41" applyNumberFormat="1" applyFont="1" applyBorder="1" applyAlignment="1">
      <alignment/>
    </xf>
    <xf numFmtId="0" fontId="0" fillId="0" borderId="16" xfId="0" applyFill="1" applyBorder="1" applyAlignment="1">
      <alignment/>
    </xf>
    <xf numFmtId="177" fontId="14" fillId="33" borderId="30" xfId="41" applyNumberFormat="1" applyFont="1" applyFill="1" applyBorder="1" applyAlignment="1">
      <alignment/>
    </xf>
    <xf numFmtId="177" fontId="14" fillId="33" borderId="27" xfId="0" applyNumberFormat="1" applyFont="1" applyFill="1" applyBorder="1" applyAlignment="1">
      <alignment/>
    </xf>
    <xf numFmtId="177" fontId="1" fillId="0" borderId="13" xfId="0" applyNumberFormat="1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171" fontId="0" fillId="0" borderId="57" xfId="47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177" fontId="1" fillId="33" borderId="24" xfId="0" applyNumberFormat="1" applyFont="1" applyFill="1" applyBorder="1" applyAlignment="1">
      <alignment/>
    </xf>
    <xf numFmtId="170" fontId="0" fillId="0" borderId="18" xfId="41" applyNumberFormat="1" applyFont="1" applyBorder="1" applyAlignment="1">
      <alignment/>
    </xf>
    <xf numFmtId="0" fontId="0" fillId="0" borderId="42" xfId="0" applyBorder="1" applyAlignment="1">
      <alignment/>
    </xf>
    <xf numFmtId="177" fontId="1" fillId="33" borderId="59" xfId="0" applyNumberFormat="1" applyFont="1" applyFill="1" applyBorder="1" applyAlignment="1">
      <alignment/>
    </xf>
    <xf numFmtId="177" fontId="0" fillId="0" borderId="21" xfId="41" applyNumberFormat="1" applyFont="1" applyBorder="1" applyAlignment="1">
      <alignment/>
    </xf>
    <xf numFmtId="177" fontId="0" fillId="0" borderId="18" xfId="41" applyNumberFormat="1" applyFont="1" applyFill="1" applyBorder="1" applyAlignment="1">
      <alignment/>
    </xf>
    <xf numFmtId="177" fontId="0" fillId="0" borderId="21" xfId="41" applyNumberFormat="1" applyFont="1" applyFill="1" applyBorder="1" applyAlignment="1">
      <alignment/>
    </xf>
    <xf numFmtId="177" fontId="0" fillId="0" borderId="42" xfId="41" applyNumberFormat="1" applyFont="1" applyBorder="1" applyAlignment="1">
      <alignment/>
    </xf>
    <xf numFmtId="177" fontId="1" fillId="0" borderId="59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177" fontId="1" fillId="0" borderId="28" xfId="41" applyNumberFormat="1" applyFont="1" applyBorder="1" applyAlignment="1">
      <alignment/>
    </xf>
    <xf numFmtId="10" fontId="0" fillId="0" borderId="0" xfId="56" applyNumberFormat="1" applyFill="1" applyBorder="1" applyAlignment="1">
      <alignment/>
    </xf>
    <xf numFmtId="10" fontId="0" fillId="0" borderId="0" xfId="56" applyNumberFormat="1" applyFont="1" applyFill="1" applyBorder="1" applyAlignment="1">
      <alignment/>
    </xf>
    <xf numFmtId="9" fontId="0" fillId="0" borderId="22" xfId="0" applyNumberFormat="1" applyBorder="1" applyAlignment="1">
      <alignment/>
    </xf>
    <xf numFmtId="9" fontId="0" fillId="0" borderId="30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170" fontId="0" fillId="0" borderId="24" xfId="41" applyFont="1" applyBorder="1" applyAlignment="1">
      <alignment/>
    </xf>
    <xf numFmtId="9" fontId="0" fillId="0" borderId="18" xfId="0" applyNumberFormat="1" applyBorder="1" applyAlignment="1">
      <alignment/>
    </xf>
    <xf numFmtId="170" fontId="1" fillId="0" borderId="29" xfId="56" applyNumberFormat="1" applyFont="1" applyFill="1" applyBorder="1" applyAlignment="1">
      <alignment/>
    </xf>
    <xf numFmtId="170" fontId="0" fillId="0" borderId="23" xfId="41" applyFont="1" applyFill="1" applyBorder="1" applyAlignment="1">
      <alignment horizontal="left"/>
    </xf>
    <xf numFmtId="177" fontId="0" fillId="0" borderId="24" xfId="41" applyNumberFormat="1" applyFill="1" applyBorder="1" applyAlignment="1">
      <alignment/>
    </xf>
    <xf numFmtId="10" fontId="14" fillId="33" borderId="24" xfId="56" applyNumberFormat="1" applyFont="1" applyFill="1" applyBorder="1" applyAlignment="1">
      <alignment/>
    </xf>
    <xf numFmtId="10" fontId="14" fillId="33" borderId="29" xfId="56" applyNumberFormat="1" applyFont="1" applyFill="1" applyBorder="1" applyAlignment="1">
      <alignment/>
    </xf>
    <xf numFmtId="9" fontId="0" fillId="33" borderId="31" xfId="56" applyFill="1" applyBorder="1" applyAlignment="1">
      <alignment/>
    </xf>
    <xf numFmtId="10" fontId="0" fillId="33" borderId="23" xfId="56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" fillId="37" borderId="50" xfId="0" applyFont="1" applyFill="1" applyBorder="1" applyAlignment="1" applyProtection="1">
      <alignment horizontal="center"/>
      <protection/>
    </xf>
    <xf numFmtId="0" fontId="2" fillId="37" borderId="37" xfId="0" applyFont="1" applyFill="1" applyBorder="1" applyAlignment="1" applyProtection="1">
      <alignment horizontal="center"/>
      <protection/>
    </xf>
    <xf numFmtId="0" fontId="0" fillId="34" borderId="34" xfId="0" applyFill="1" applyBorder="1" applyAlignment="1">
      <alignment/>
    </xf>
    <xf numFmtId="0" fontId="1" fillId="34" borderId="62" xfId="0" applyFont="1" applyFill="1" applyBorder="1" applyAlignment="1">
      <alignment/>
    </xf>
    <xf numFmtId="170" fontId="0" fillId="34" borderId="32" xfId="41" applyFont="1" applyFill="1" applyBorder="1" applyAlignment="1">
      <alignment/>
    </xf>
    <xf numFmtId="0" fontId="0" fillId="34" borderId="35" xfId="0" applyFill="1" applyBorder="1" applyAlignment="1">
      <alignment/>
    </xf>
    <xf numFmtId="9" fontId="0" fillId="0" borderId="37" xfId="56" applyNumberFormat="1" applyFont="1" applyFill="1" applyBorder="1" applyAlignment="1" applyProtection="1">
      <alignment horizontal="center"/>
      <protection/>
    </xf>
    <xf numFmtId="177" fontId="0" fillId="0" borderId="37" xfId="0" applyNumberFormat="1" applyFill="1" applyBorder="1" applyAlignment="1" applyProtection="1">
      <alignment/>
      <protection/>
    </xf>
    <xf numFmtId="177" fontId="0" fillId="0" borderId="37" xfId="41" applyNumberFormat="1" applyFont="1" applyFill="1" applyBorder="1" applyAlignment="1" applyProtection="1">
      <alignment/>
      <protection/>
    </xf>
    <xf numFmtId="177" fontId="0" fillId="0" borderId="43" xfId="0" applyNumberFormat="1" applyBorder="1" applyAlignment="1">
      <alignment/>
    </xf>
    <xf numFmtId="177" fontId="0" fillId="0" borderId="42" xfId="0" applyNumberFormat="1" applyFont="1" applyBorder="1" applyAlignment="1">
      <alignment/>
    </xf>
    <xf numFmtId="0" fontId="1" fillId="33" borderId="55" xfId="0" applyFont="1" applyFill="1" applyBorder="1" applyAlignment="1">
      <alignment/>
    </xf>
    <xf numFmtId="177" fontId="0" fillId="0" borderId="18" xfId="41" applyNumberFormat="1" applyFont="1" applyBorder="1" applyAlignment="1">
      <alignment/>
    </xf>
    <xf numFmtId="215" fontId="0" fillId="0" borderId="24" xfId="47" applyNumberFormat="1" applyFont="1" applyBorder="1" applyAlignment="1">
      <alignment/>
    </xf>
    <xf numFmtId="177" fontId="0" fillId="0" borderId="56" xfId="41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25" fillId="0" borderId="16" xfId="0" applyFont="1" applyBorder="1" applyAlignment="1">
      <alignment/>
    </xf>
    <xf numFmtId="0" fontId="0" fillId="0" borderId="20" xfId="0" applyBorder="1" applyAlignment="1" quotePrefix="1">
      <alignment/>
    </xf>
    <xf numFmtId="0" fontId="25" fillId="0" borderId="20" xfId="0" applyFont="1" applyBorder="1" applyAlignment="1">
      <alignment/>
    </xf>
    <xf numFmtId="0" fontId="0" fillId="0" borderId="20" xfId="0" applyFill="1" applyBorder="1" applyAlignment="1" quotePrefix="1">
      <alignment/>
    </xf>
    <xf numFmtId="4" fontId="0" fillId="0" borderId="21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1" fillId="0" borderId="24" xfId="0" applyNumberFormat="1" applyFont="1" applyBorder="1" applyAlignment="1">
      <alignment/>
    </xf>
    <xf numFmtId="0" fontId="1" fillId="33" borderId="24" xfId="0" applyFont="1" applyFill="1" applyBorder="1" applyAlignment="1">
      <alignment horizontal="right"/>
    </xf>
    <xf numFmtId="0" fontId="1" fillId="33" borderId="29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right"/>
    </xf>
    <xf numFmtId="0" fontId="14" fillId="33" borderId="29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0" fontId="0" fillId="0" borderId="14" xfId="56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38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22" fillId="0" borderId="28" xfId="0" applyFont="1" applyBorder="1" applyAlignment="1">
      <alignment/>
    </xf>
    <xf numFmtId="177" fontId="0" fillId="38" borderId="31" xfId="41" applyNumberFormat="1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177" fontId="14" fillId="0" borderId="0" xfId="41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77" fontId="0" fillId="0" borderId="13" xfId="41" applyNumberFormat="1" applyFont="1" applyBorder="1" applyAlignment="1">
      <alignment/>
    </xf>
    <xf numFmtId="177" fontId="0" fillId="0" borderId="28" xfId="41" applyNumberFormat="1" applyFont="1" applyBorder="1" applyAlignment="1">
      <alignment/>
    </xf>
    <xf numFmtId="177" fontId="0" fillId="0" borderId="14" xfId="41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14" fillId="33" borderId="22" xfId="0" applyFont="1" applyFill="1" applyBorder="1" applyAlignment="1">
      <alignment/>
    </xf>
    <xf numFmtId="177" fontId="0" fillId="0" borderId="18" xfId="41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26" fillId="39" borderId="63" xfId="0" applyFont="1" applyFill="1" applyBorder="1" applyAlignment="1">
      <alignment horizontal="center"/>
    </xf>
    <xf numFmtId="0" fontId="26" fillId="39" borderId="64" xfId="0" applyFont="1" applyFill="1" applyBorder="1" applyAlignment="1">
      <alignment horizontal="center"/>
    </xf>
    <xf numFmtId="0" fontId="26" fillId="39" borderId="63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4" borderId="65" xfId="0" applyFont="1" applyFill="1" applyBorder="1" applyAlignment="1">
      <alignment horizontal="left" wrapText="1"/>
    </xf>
    <xf numFmtId="0" fontId="0" fillId="34" borderId="66" xfId="0" applyFont="1" applyFill="1" applyBorder="1" applyAlignment="1">
      <alignment horizontal="center"/>
    </xf>
    <xf numFmtId="0" fontId="0" fillId="34" borderId="67" xfId="0" applyFont="1" applyFill="1" applyBorder="1" applyAlignment="1">
      <alignment/>
    </xf>
    <xf numFmtId="222" fontId="29" fillId="40" borderId="68" xfId="0" applyNumberFormat="1" applyFont="1" applyFill="1" applyBorder="1" applyAlignment="1">
      <alignment horizontal="center"/>
    </xf>
    <xf numFmtId="222" fontId="29" fillId="40" borderId="69" xfId="0" applyNumberFormat="1" applyFont="1" applyFill="1" applyBorder="1" applyAlignment="1">
      <alignment horizontal="center"/>
    </xf>
    <xf numFmtId="223" fontId="29" fillId="40" borderId="68" xfId="0" applyNumberFormat="1" applyFont="1" applyFill="1" applyBorder="1" applyAlignment="1">
      <alignment horizontal="center"/>
    </xf>
    <xf numFmtId="223" fontId="29" fillId="40" borderId="69" xfId="0" applyNumberFormat="1" applyFont="1" applyFill="1" applyBorder="1" applyAlignment="1">
      <alignment horizontal="center"/>
    </xf>
    <xf numFmtId="0" fontId="0" fillId="34" borderId="70" xfId="0" applyFont="1" applyFill="1" applyBorder="1" applyAlignment="1">
      <alignment/>
    </xf>
    <xf numFmtId="223" fontId="29" fillId="40" borderId="71" xfId="0" applyNumberFormat="1" applyFont="1" applyFill="1" applyBorder="1" applyAlignment="1">
      <alignment horizontal="center"/>
    </xf>
    <xf numFmtId="223" fontId="29" fillId="40" borderId="72" xfId="0" applyNumberFormat="1" applyFont="1" applyFill="1" applyBorder="1" applyAlignment="1">
      <alignment horizontal="center"/>
    </xf>
    <xf numFmtId="0" fontId="0" fillId="34" borderId="73" xfId="0" applyFont="1" applyFill="1" applyBorder="1" applyAlignment="1">
      <alignment/>
    </xf>
    <xf numFmtId="223" fontId="29" fillId="40" borderId="74" xfId="0" applyNumberFormat="1" applyFont="1" applyFill="1" applyBorder="1" applyAlignment="1">
      <alignment horizontal="center"/>
    </xf>
    <xf numFmtId="223" fontId="29" fillId="40" borderId="75" xfId="0" applyNumberFormat="1" applyFont="1" applyFill="1" applyBorder="1" applyAlignment="1">
      <alignment horizontal="center"/>
    </xf>
    <xf numFmtId="0" fontId="26" fillId="39" borderId="76" xfId="0" applyFont="1" applyFill="1" applyBorder="1" applyAlignment="1">
      <alignment horizontal="center" vertical="center" textRotation="90"/>
    </xf>
    <xf numFmtId="0" fontId="0" fillId="34" borderId="77" xfId="0" applyFont="1" applyFill="1" applyBorder="1" applyAlignment="1">
      <alignment/>
    </xf>
    <xf numFmtId="222" fontId="29" fillId="40" borderId="74" xfId="0" applyNumberFormat="1" applyFont="1" applyFill="1" applyBorder="1" applyAlignment="1">
      <alignment horizontal="center"/>
    </xf>
    <xf numFmtId="222" fontId="29" fillId="40" borderId="75" xfId="0" applyNumberFormat="1" applyFont="1" applyFill="1" applyBorder="1" applyAlignment="1">
      <alignment horizontal="center"/>
    </xf>
    <xf numFmtId="0" fontId="0" fillId="34" borderId="78" xfId="0" applyFont="1" applyFill="1" applyBorder="1" applyAlignment="1">
      <alignment/>
    </xf>
    <xf numFmtId="222" fontId="29" fillId="40" borderId="79" xfId="0" applyNumberFormat="1" applyFont="1" applyFill="1" applyBorder="1" applyAlignment="1">
      <alignment horizontal="center"/>
    </xf>
    <xf numFmtId="0" fontId="0" fillId="34" borderId="80" xfId="0" applyFont="1" applyFill="1" applyBorder="1" applyAlignment="1">
      <alignment/>
    </xf>
    <xf numFmtId="223" fontId="10" fillId="40" borderId="71" xfId="0" applyNumberFormat="1" applyFont="1" applyFill="1" applyBorder="1" applyAlignment="1">
      <alignment horizontal="center"/>
    </xf>
    <xf numFmtId="0" fontId="0" fillId="34" borderId="74" xfId="0" applyFont="1" applyFill="1" applyBorder="1" applyAlignment="1">
      <alignment/>
    </xf>
    <xf numFmtId="0" fontId="0" fillId="34" borderId="74" xfId="0" applyFont="1" applyFill="1" applyBorder="1" applyAlignment="1">
      <alignment horizontal="center"/>
    </xf>
    <xf numFmtId="0" fontId="0" fillId="34" borderId="75" xfId="0" applyFont="1" applyFill="1" applyBorder="1" applyAlignment="1">
      <alignment horizontal="center"/>
    </xf>
    <xf numFmtId="222" fontId="10" fillId="40" borderId="74" xfId="0" applyNumberFormat="1" applyFont="1" applyFill="1" applyBorder="1" applyAlignment="1">
      <alignment horizontal="center"/>
    </xf>
    <xf numFmtId="0" fontId="0" fillId="34" borderId="68" xfId="0" applyFont="1" applyFill="1" applyBorder="1" applyAlignment="1">
      <alignment/>
    </xf>
    <xf numFmtId="0" fontId="0" fillId="34" borderId="68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1" fillId="34" borderId="65" xfId="0" applyFont="1" applyFill="1" applyBorder="1" applyAlignment="1">
      <alignment/>
    </xf>
    <xf numFmtId="0" fontId="0" fillId="34" borderId="65" xfId="0" applyFont="1" applyFill="1" applyBorder="1" applyAlignment="1">
      <alignment horizontal="center"/>
    </xf>
    <xf numFmtId="0" fontId="0" fillId="34" borderId="79" xfId="0" applyFont="1" applyFill="1" applyBorder="1" applyAlignment="1">
      <alignment/>
    </xf>
    <xf numFmtId="0" fontId="0" fillId="34" borderId="71" xfId="0" applyFont="1" applyFill="1" applyBorder="1" applyAlignment="1">
      <alignment horizontal="center"/>
    </xf>
    <xf numFmtId="0" fontId="0" fillId="34" borderId="72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81" xfId="0" applyFont="1" applyFill="1" applyBorder="1" applyAlignment="1">
      <alignment horizontal="center"/>
    </xf>
    <xf numFmtId="0" fontId="0" fillId="40" borderId="77" xfId="0" applyFont="1" applyFill="1" applyBorder="1" applyAlignment="1">
      <alignment/>
    </xf>
    <xf numFmtId="222" fontId="29" fillId="40" borderId="82" xfId="0" applyNumberFormat="1" applyFont="1" applyFill="1" applyBorder="1" applyAlignment="1">
      <alignment horizontal="center"/>
    </xf>
    <xf numFmtId="222" fontId="29" fillId="40" borderId="35" xfId="0" applyNumberFormat="1" applyFont="1" applyFill="1" applyBorder="1" applyAlignment="1">
      <alignment horizontal="center"/>
    </xf>
    <xf numFmtId="0" fontId="10" fillId="40" borderId="77" xfId="0" applyFont="1" applyFill="1" applyBorder="1" applyAlignment="1">
      <alignment/>
    </xf>
    <xf numFmtId="222" fontId="29" fillId="40" borderId="36" xfId="0" applyNumberFormat="1" applyFont="1" applyFill="1" applyBorder="1" applyAlignment="1">
      <alignment horizontal="center"/>
    </xf>
    <xf numFmtId="223" fontId="29" fillId="40" borderId="81" xfId="0" applyNumberFormat="1" applyFont="1" applyFill="1" applyBorder="1" applyAlignment="1">
      <alignment horizontal="center"/>
    </xf>
    <xf numFmtId="0" fontId="10" fillId="40" borderId="80" xfId="0" applyFont="1" applyFill="1" applyBorder="1" applyAlignment="1">
      <alignment/>
    </xf>
    <xf numFmtId="223" fontId="10" fillId="40" borderId="83" xfId="0" applyNumberFormat="1" applyFont="1" applyFill="1" applyBorder="1" applyAlignment="1">
      <alignment horizontal="center"/>
    </xf>
    <xf numFmtId="223" fontId="10" fillId="40" borderId="72" xfId="0" applyNumberFormat="1" applyFont="1" applyFill="1" applyBorder="1" applyAlignment="1">
      <alignment horizontal="center"/>
    </xf>
    <xf numFmtId="0" fontId="0" fillId="34" borderId="41" xfId="0" applyFont="1" applyFill="1" applyBorder="1" applyAlignment="1">
      <alignment/>
    </xf>
    <xf numFmtId="223" fontId="10" fillId="40" borderId="65" xfId="0" applyNumberFormat="1" applyFont="1" applyFill="1" applyBorder="1" applyAlignment="1">
      <alignment horizontal="center"/>
    </xf>
    <xf numFmtId="223" fontId="10" fillId="40" borderId="66" xfId="0" applyNumberFormat="1" applyFont="1" applyFill="1" applyBorder="1" applyAlignment="1">
      <alignment horizontal="center"/>
    </xf>
    <xf numFmtId="0" fontId="0" fillId="34" borderId="32" xfId="0" applyFont="1" applyFill="1" applyBorder="1" applyAlignment="1">
      <alignment/>
    </xf>
    <xf numFmtId="0" fontId="0" fillId="34" borderId="84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222" fontId="29" fillId="40" borderId="85" xfId="0" applyNumberFormat="1" applyFont="1" applyFill="1" applyBorder="1" applyAlignment="1">
      <alignment horizontal="center"/>
    </xf>
    <xf numFmtId="222" fontId="29" fillId="40" borderId="73" xfId="0" applyNumberFormat="1" applyFont="1" applyFill="1" applyBorder="1" applyAlignment="1">
      <alignment horizontal="center"/>
    </xf>
    <xf numFmtId="0" fontId="0" fillId="34" borderId="69" xfId="0" applyFont="1" applyFill="1" applyBorder="1" applyAlignment="1">
      <alignment/>
    </xf>
    <xf numFmtId="222" fontId="29" fillId="40" borderId="67" xfId="0" applyNumberFormat="1" applyFont="1" applyFill="1" applyBorder="1" applyAlignment="1">
      <alignment horizontal="center"/>
    </xf>
    <xf numFmtId="222" fontId="29" fillId="40" borderId="77" xfId="0" applyNumberFormat="1" applyFont="1" applyFill="1" applyBorder="1" applyAlignment="1">
      <alignment horizontal="center"/>
    </xf>
    <xf numFmtId="0" fontId="0" fillId="34" borderId="81" xfId="0" applyFont="1" applyFill="1" applyBorder="1" applyAlignment="1">
      <alignment/>
    </xf>
    <xf numFmtId="222" fontId="29" fillId="40" borderId="70" xfId="0" applyNumberFormat="1" applyFont="1" applyFill="1" applyBorder="1" applyAlignment="1">
      <alignment horizontal="center"/>
    </xf>
    <xf numFmtId="222" fontId="29" fillId="40" borderId="78" xfId="0" applyNumberFormat="1" applyFont="1" applyFill="1" applyBorder="1" applyAlignment="1">
      <alignment horizontal="center"/>
    </xf>
    <xf numFmtId="0" fontId="0" fillId="34" borderId="72" xfId="0" applyFont="1" applyFill="1" applyBorder="1" applyAlignment="1">
      <alignment/>
    </xf>
    <xf numFmtId="222" fontId="29" fillId="40" borderId="86" xfId="0" applyNumberFormat="1" applyFont="1" applyFill="1" applyBorder="1" applyAlignment="1">
      <alignment horizontal="center"/>
    </xf>
    <xf numFmtId="222" fontId="29" fillId="40" borderId="80" xfId="0" applyNumberFormat="1" applyFont="1" applyFill="1" applyBorder="1" applyAlignment="1">
      <alignment horizontal="center"/>
    </xf>
    <xf numFmtId="0" fontId="1" fillId="34" borderId="85" xfId="0" applyFont="1" applyFill="1" applyBorder="1" applyAlignment="1">
      <alignment/>
    </xf>
    <xf numFmtId="222" fontId="29" fillId="40" borderId="65" xfId="0" applyNumberFormat="1" applyFont="1" applyFill="1" applyBorder="1" applyAlignment="1">
      <alignment horizontal="center"/>
    </xf>
    <xf numFmtId="222" fontId="29" fillId="40" borderId="66" xfId="0" applyNumberFormat="1" applyFont="1" applyFill="1" applyBorder="1" applyAlignment="1">
      <alignment horizontal="center"/>
    </xf>
    <xf numFmtId="222" fontId="29" fillId="40" borderId="71" xfId="0" applyNumberFormat="1" applyFont="1" applyFill="1" applyBorder="1" applyAlignment="1">
      <alignment horizontal="center"/>
    </xf>
    <xf numFmtId="222" fontId="29" fillId="40" borderId="72" xfId="0" applyNumberFormat="1" applyFont="1" applyFill="1" applyBorder="1" applyAlignment="1">
      <alignment horizontal="center"/>
    </xf>
    <xf numFmtId="0" fontId="10" fillId="34" borderId="73" xfId="0" applyFont="1" applyFill="1" applyBorder="1" applyAlignment="1">
      <alignment/>
    </xf>
    <xf numFmtId="223" fontId="29" fillId="40" borderId="87" xfId="0" applyNumberFormat="1" applyFont="1" applyFill="1" applyBorder="1" applyAlignment="1">
      <alignment horizontal="center"/>
    </xf>
    <xf numFmtId="223" fontId="29" fillId="40" borderId="66" xfId="0" applyNumberFormat="1" applyFont="1" applyFill="1" applyBorder="1" applyAlignment="1">
      <alignment horizontal="center"/>
    </xf>
    <xf numFmtId="0" fontId="10" fillId="34" borderId="77" xfId="0" applyFont="1" applyFill="1" applyBorder="1" applyAlignment="1">
      <alignment/>
    </xf>
    <xf numFmtId="222" fontId="29" fillId="40" borderId="38" xfId="0" applyNumberFormat="1" applyFont="1" applyFill="1" applyBorder="1" applyAlignment="1">
      <alignment horizontal="center"/>
    </xf>
    <xf numFmtId="222" fontId="29" fillId="40" borderId="69" xfId="0" applyNumberFormat="1" applyFont="1" applyFill="1" applyBorder="1" applyAlignment="1">
      <alignment horizontal="right"/>
    </xf>
    <xf numFmtId="223" fontId="29" fillId="40" borderId="35" xfId="0" applyNumberFormat="1" applyFont="1" applyFill="1" applyBorder="1" applyAlignment="1">
      <alignment horizontal="right"/>
    </xf>
    <xf numFmtId="0" fontId="31" fillId="34" borderId="77" xfId="0" applyFont="1" applyFill="1" applyBorder="1" applyAlignment="1">
      <alignment/>
    </xf>
    <xf numFmtId="223" fontId="10" fillId="40" borderId="35" xfId="0" applyNumberFormat="1" applyFont="1" applyFill="1" applyBorder="1" applyAlignment="1">
      <alignment horizontal="right"/>
    </xf>
    <xf numFmtId="223" fontId="10" fillId="40" borderId="69" xfId="0" applyNumberFormat="1" applyFont="1" applyFill="1" applyBorder="1" applyAlignment="1">
      <alignment horizontal="right"/>
    </xf>
    <xf numFmtId="223" fontId="10" fillId="40" borderId="35" xfId="0" applyNumberFormat="1" applyFont="1" applyFill="1" applyBorder="1" applyAlignment="1">
      <alignment horizontal="center"/>
    </xf>
    <xf numFmtId="223" fontId="29" fillId="40" borderId="35" xfId="0" applyNumberFormat="1" applyFont="1" applyFill="1" applyBorder="1" applyAlignment="1">
      <alignment horizontal="center"/>
    </xf>
    <xf numFmtId="223" fontId="10" fillId="40" borderId="36" xfId="0" applyNumberFormat="1" applyFont="1" applyFill="1" applyBorder="1" applyAlignment="1">
      <alignment horizontal="center"/>
    </xf>
    <xf numFmtId="223" fontId="10" fillId="40" borderId="81" xfId="0" applyNumberFormat="1" applyFont="1" applyFill="1" applyBorder="1" applyAlignment="1">
      <alignment horizontal="right"/>
    </xf>
    <xf numFmtId="0" fontId="0" fillId="0" borderId="88" xfId="0" applyFont="1" applyFill="1" applyBorder="1" applyAlignment="1">
      <alignment/>
    </xf>
    <xf numFmtId="0" fontId="0" fillId="0" borderId="89" xfId="0" applyFont="1" applyFill="1" applyBorder="1" applyAlignment="1">
      <alignment/>
    </xf>
    <xf numFmtId="0" fontId="15" fillId="0" borderId="88" xfId="0" applyFont="1" applyFill="1" applyBorder="1" applyAlignment="1">
      <alignment horizontal="left" indent="1"/>
    </xf>
    <xf numFmtId="0" fontId="0" fillId="0" borderId="90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9" fontId="0" fillId="0" borderId="25" xfId="0" applyNumberFormat="1" applyBorder="1" applyAlignment="1">
      <alignment/>
    </xf>
    <xf numFmtId="0" fontId="0" fillId="33" borderId="18" xfId="0" applyFill="1" applyBorder="1" applyAlignment="1">
      <alignment/>
    </xf>
    <xf numFmtId="0" fontId="1" fillId="33" borderId="59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70" fontId="0" fillId="0" borderId="60" xfId="41" applyFont="1" applyBorder="1" applyAlignment="1">
      <alignment/>
    </xf>
    <xf numFmtId="0" fontId="2" fillId="33" borderId="11" xfId="0" applyFont="1" applyFill="1" applyBorder="1" applyAlignment="1">
      <alignment/>
    </xf>
    <xf numFmtId="170" fontId="0" fillId="0" borderId="43" xfId="41" applyFont="1" applyBorder="1" applyAlignment="1">
      <alignment/>
    </xf>
    <xf numFmtId="170" fontId="0" fillId="0" borderId="59" xfId="41" applyFont="1" applyBorder="1" applyAlignment="1">
      <alignment/>
    </xf>
    <xf numFmtId="170" fontId="0" fillId="0" borderId="0" xfId="41" applyNumberFormat="1" applyFont="1" applyAlignment="1">
      <alignment/>
    </xf>
    <xf numFmtId="177" fontId="0" fillId="0" borderId="24" xfId="0" applyNumberFormat="1" applyBorder="1" applyAlignment="1">
      <alignment/>
    </xf>
    <xf numFmtId="212" fontId="0" fillId="0" borderId="21" xfId="0" applyNumberFormat="1" applyBorder="1" applyAlignment="1">
      <alignment/>
    </xf>
    <xf numFmtId="2" fontId="1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19" fillId="33" borderId="55" xfId="0" applyFont="1" applyFill="1" applyBorder="1" applyAlignment="1">
      <alignment horizontal="center"/>
    </xf>
    <xf numFmtId="0" fontId="32" fillId="33" borderId="27" xfId="0" applyFont="1" applyFill="1" applyBorder="1" applyAlignment="1">
      <alignment horizontal="center"/>
    </xf>
    <xf numFmtId="0" fontId="32" fillId="33" borderId="29" xfId="0" applyFont="1" applyFill="1" applyBorder="1" applyAlignment="1">
      <alignment horizontal="center"/>
    </xf>
    <xf numFmtId="0" fontId="32" fillId="0" borderId="16" xfId="0" applyFont="1" applyBorder="1" applyAlignment="1">
      <alignment/>
    </xf>
    <xf numFmtId="0" fontId="32" fillId="0" borderId="18" xfId="0" applyFont="1" applyBorder="1" applyAlignment="1">
      <alignment/>
    </xf>
    <xf numFmtId="175" fontId="32" fillId="0" borderId="13" xfId="0" applyNumberFormat="1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/>
    </xf>
    <xf numFmtId="175" fontId="32" fillId="0" borderId="28" xfId="0" applyNumberFormat="1" applyFont="1" applyBorder="1" applyAlignment="1">
      <alignment/>
    </xf>
    <xf numFmtId="10" fontId="32" fillId="0" borderId="21" xfId="0" applyNumberFormat="1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9" xfId="0" applyFont="1" applyBorder="1" applyAlignment="1">
      <alignment/>
    </xf>
    <xf numFmtId="175" fontId="32" fillId="0" borderId="14" xfId="0" applyNumberFormat="1" applyFont="1" applyBorder="1" applyAlignment="1">
      <alignment/>
    </xf>
    <xf numFmtId="178" fontId="1" fillId="0" borderId="27" xfId="0" applyNumberFormat="1" applyFont="1" applyBorder="1" applyAlignment="1">
      <alignment horizontal="center"/>
    </xf>
    <xf numFmtId="178" fontId="0" fillId="0" borderId="57" xfId="0" applyNumberFormat="1" applyFont="1" applyBorder="1" applyAlignment="1">
      <alignment horizontal="center"/>
    </xf>
    <xf numFmtId="0" fontId="0" fillId="0" borderId="52" xfId="0" applyFill="1" applyBorder="1" applyAlignment="1">
      <alignment/>
    </xf>
    <xf numFmtId="178" fontId="0" fillId="0" borderId="12" xfId="0" applyNumberFormat="1" applyFont="1" applyBorder="1" applyAlignment="1">
      <alignment horizontal="center"/>
    </xf>
    <xf numFmtId="178" fontId="0" fillId="0" borderId="27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1" fontId="0" fillId="0" borderId="18" xfId="0" applyNumberFormat="1" applyFont="1" applyBorder="1" applyAlignment="1">
      <alignment horizontal="right"/>
    </xf>
    <xf numFmtId="1" fontId="0" fillId="0" borderId="21" xfId="0" applyNumberFormat="1" applyFont="1" applyBorder="1" applyAlignment="1">
      <alignment horizontal="right"/>
    </xf>
    <xf numFmtId="1" fontId="0" fillId="0" borderId="19" xfId="0" applyNumberFormat="1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2" fontId="1" fillId="33" borderId="24" xfId="0" applyNumberFormat="1" applyFont="1" applyFill="1" applyBorder="1" applyAlignment="1">
      <alignment horizontal="center"/>
    </xf>
    <xf numFmtId="178" fontId="1" fillId="33" borderId="27" xfId="0" applyNumberFormat="1" applyFont="1" applyFill="1" applyBorder="1" applyAlignment="1">
      <alignment horizontal="center"/>
    </xf>
    <xf numFmtId="178" fontId="1" fillId="33" borderId="29" xfId="0" applyNumberFormat="1" applyFont="1" applyFill="1" applyBorder="1" applyAlignment="1">
      <alignment horizontal="center"/>
    </xf>
    <xf numFmtId="178" fontId="1" fillId="33" borderId="24" xfId="0" applyNumberFormat="1" applyFont="1" applyFill="1" applyBorder="1" applyAlignment="1">
      <alignment horizontal="center"/>
    </xf>
    <xf numFmtId="0" fontId="14" fillId="37" borderId="23" xfId="0" applyFont="1" applyFill="1" applyBorder="1" applyAlignment="1">
      <alignment/>
    </xf>
    <xf numFmtId="2" fontId="1" fillId="37" borderId="24" xfId="0" applyNumberFormat="1" applyFont="1" applyFill="1" applyBorder="1" applyAlignment="1">
      <alignment horizontal="center"/>
    </xf>
    <xf numFmtId="178" fontId="1" fillId="37" borderId="27" xfId="0" applyNumberFormat="1" applyFont="1" applyFill="1" applyBorder="1" applyAlignment="1">
      <alignment horizontal="center"/>
    </xf>
    <xf numFmtId="0" fontId="14" fillId="37" borderId="23" xfId="0" applyFont="1" applyFill="1" applyBorder="1" applyAlignment="1">
      <alignment horizontal="left"/>
    </xf>
    <xf numFmtId="1" fontId="0" fillId="37" borderId="24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9" fontId="1" fillId="0" borderId="0" xfId="0" applyNumberFormat="1" applyFont="1" applyBorder="1" applyAlignment="1">
      <alignment/>
    </xf>
    <xf numFmtId="198" fontId="0" fillId="0" borderId="18" xfId="56" applyNumberFormat="1" applyFont="1" applyBorder="1" applyAlignment="1">
      <alignment/>
    </xf>
    <xf numFmtId="198" fontId="0" fillId="0" borderId="21" xfId="56" applyNumberFormat="1" applyFont="1" applyBorder="1" applyAlignment="1">
      <alignment/>
    </xf>
    <xf numFmtId="198" fontId="0" fillId="0" borderId="19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77" fontId="0" fillId="0" borderId="24" xfId="0" applyNumberFormat="1" applyFont="1" applyBorder="1" applyAlignment="1">
      <alignment/>
    </xf>
    <xf numFmtId="177" fontId="0" fillId="0" borderId="30" xfId="0" applyNumberFormat="1" applyFont="1" applyBorder="1" applyAlignment="1">
      <alignment/>
    </xf>
    <xf numFmtId="0" fontId="0" fillId="36" borderId="62" xfId="0" applyFill="1" applyBorder="1" applyAlignment="1" applyProtection="1">
      <alignment/>
      <protection/>
    </xf>
    <xf numFmtId="170" fontId="0" fillId="0" borderId="13" xfId="41" applyNumberFormat="1" applyFont="1" applyBorder="1" applyAlignment="1">
      <alignment/>
    </xf>
    <xf numFmtId="1" fontId="0" fillId="0" borderId="14" xfId="0" applyNumberFormat="1" applyBorder="1" applyAlignment="1">
      <alignment/>
    </xf>
    <xf numFmtId="209" fontId="0" fillId="0" borderId="32" xfId="0" applyNumberFormat="1" applyBorder="1" applyAlignment="1" applyProtection="1">
      <alignment/>
      <protection/>
    </xf>
    <xf numFmtId="0" fontId="0" fillId="0" borderId="92" xfId="0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209" fontId="1" fillId="36" borderId="32" xfId="0" applyNumberFormat="1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22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177" fontId="0" fillId="37" borderId="21" xfId="60" applyNumberFormat="1" applyFill="1" applyBorder="1" applyAlignment="1" applyProtection="1">
      <alignment/>
      <protection locked="0"/>
    </xf>
    <xf numFmtId="3" fontId="0" fillId="37" borderId="21" xfId="0" applyNumberFormat="1" applyFill="1" applyBorder="1" applyAlignment="1" applyProtection="1">
      <alignment/>
      <protection/>
    </xf>
    <xf numFmtId="209" fontId="0" fillId="37" borderId="22" xfId="0" applyNumberFormat="1" applyFont="1" applyFill="1" applyBorder="1" applyAlignment="1" applyProtection="1">
      <alignment/>
      <protection/>
    </xf>
    <xf numFmtId="209" fontId="0" fillId="37" borderId="21" xfId="0" applyNumberFormat="1" applyFill="1" applyBorder="1" applyAlignment="1" applyProtection="1">
      <alignment/>
      <protection/>
    </xf>
    <xf numFmtId="0" fontId="18" fillId="33" borderId="53" xfId="0" applyFont="1" applyFill="1" applyBorder="1" applyAlignment="1" applyProtection="1">
      <alignment/>
      <protection/>
    </xf>
    <xf numFmtId="0" fontId="9" fillId="33" borderId="93" xfId="0" applyFont="1" applyFill="1" applyBorder="1" applyAlignment="1" applyProtection="1">
      <alignment/>
      <protection/>
    </xf>
    <xf numFmtId="0" fontId="9" fillId="33" borderId="57" xfId="0" applyFont="1" applyFill="1" applyBorder="1" applyAlignment="1" applyProtection="1">
      <alignment/>
      <protection/>
    </xf>
    <xf numFmtId="0" fontId="10" fillId="33" borderId="57" xfId="0" applyFont="1" applyFill="1" applyBorder="1" applyAlignment="1" applyProtection="1">
      <alignment/>
      <protection/>
    </xf>
    <xf numFmtId="15" fontId="10" fillId="33" borderId="57" xfId="0" applyNumberFormat="1" applyFont="1" applyFill="1" applyBorder="1" applyAlignment="1" applyProtection="1">
      <alignment horizontal="left"/>
      <protection/>
    </xf>
    <xf numFmtId="187" fontId="10" fillId="33" borderId="57" xfId="0" applyNumberFormat="1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/>
      <protection/>
    </xf>
    <xf numFmtId="0" fontId="10" fillId="33" borderId="52" xfId="0" applyFont="1" applyFill="1" applyBorder="1" applyAlignment="1" applyProtection="1">
      <alignment/>
      <protection/>
    </xf>
    <xf numFmtId="0" fontId="0" fillId="33" borderId="28" xfId="0" applyFont="1" applyFill="1" applyBorder="1" applyAlignment="1" applyProtection="1">
      <alignment/>
      <protection/>
    </xf>
    <xf numFmtId="0" fontId="10" fillId="33" borderId="94" xfId="0" applyFont="1" applyFill="1" applyBorder="1" applyAlignment="1" applyProtection="1">
      <alignment/>
      <protection/>
    </xf>
    <xf numFmtId="0" fontId="0" fillId="33" borderId="95" xfId="0" applyFont="1" applyFill="1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33" borderId="47" xfId="0" applyFont="1" applyFill="1" applyBorder="1" applyAlignment="1" applyProtection="1">
      <alignment/>
      <protection/>
    </xf>
    <xf numFmtId="0" fontId="0" fillId="33" borderId="48" xfId="0" applyFill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20" fillId="0" borderId="20" xfId="45" applyFill="1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5" xfId="0" applyBorder="1" applyAlignment="1" applyProtection="1">
      <alignment/>
      <protection/>
    </xf>
    <xf numFmtId="177" fontId="0" fillId="33" borderId="48" xfId="0" applyNumberFormat="1" applyFont="1" applyFill="1" applyBorder="1" applyAlignment="1" applyProtection="1">
      <alignment/>
      <protection/>
    </xf>
    <xf numFmtId="0" fontId="1" fillId="36" borderId="96" xfId="0" applyFont="1" applyFill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177" fontId="0" fillId="0" borderId="28" xfId="0" applyNumberFormat="1" applyBorder="1" applyAlignment="1" applyProtection="1">
      <alignment/>
      <protection/>
    </xf>
    <xf numFmtId="177" fontId="1" fillId="0" borderId="28" xfId="0" applyNumberFormat="1" applyFont="1" applyBorder="1" applyAlignment="1" applyProtection="1">
      <alignment/>
      <protection/>
    </xf>
    <xf numFmtId="0" fontId="0" fillId="36" borderId="47" xfId="0" applyFill="1" applyBorder="1" applyAlignment="1">
      <alignment/>
    </xf>
    <xf numFmtId="177" fontId="1" fillId="36" borderId="51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7" fontId="1" fillId="36" borderId="98" xfId="0" applyNumberFormat="1" applyFont="1" applyFill="1" applyBorder="1" applyAlignment="1" applyProtection="1">
      <alignment/>
      <protection/>
    </xf>
    <xf numFmtId="0" fontId="0" fillId="0" borderId="96" xfId="0" applyFill="1" applyBorder="1" applyAlignment="1">
      <alignment/>
    </xf>
    <xf numFmtId="177" fontId="1" fillId="0" borderId="28" xfId="0" applyNumberFormat="1" applyFont="1" applyFill="1" applyBorder="1" applyAlignment="1" applyProtection="1">
      <alignment/>
      <protection/>
    </xf>
    <xf numFmtId="177" fontId="0" fillId="0" borderId="51" xfId="60" applyNumberFormat="1" applyFill="1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0" borderId="92" xfId="0" applyBorder="1" applyAlignment="1" applyProtection="1">
      <alignment/>
      <protection/>
    </xf>
    <xf numFmtId="209" fontId="13" fillId="0" borderId="48" xfId="0" applyNumberFormat="1" applyFont="1" applyBorder="1" applyAlignment="1" applyProtection="1">
      <alignment/>
      <protection/>
    </xf>
    <xf numFmtId="0" fontId="1" fillId="36" borderId="49" xfId="0" applyFont="1" applyFill="1" applyBorder="1" applyAlignment="1" applyProtection="1">
      <alignment/>
      <protection/>
    </xf>
    <xf numFmtId="209" fontId="0" fillId="0" borderId="28" xfId="0" applyNumberFormat="1" applyFont="1" applyBorder="1" applyAlignment="1" applyProtection="1">
      <alignment/>
      <protection/>
    </xf>
    <xf numFmtId="0" fontId="20" fillId="0" borderId="20" xfId="45" applyBorder="1" applyAlignment="1" applyProtection="1">
      <alignment/>
      <protection/>
    </xf>
    <xf numFmtId="209" fontId="0" fillId="0" borderId="28" xfId="0" applyNumberFormat="1" applyBorder="1" applyAlignment="1" applyProtection="1">
      <alignment/>
      <protection/>
    </xf>
    <xf numFmtId="0" fontId="20" fillId="0" borderId="20" xfId="45" applyFont="1" applyBorder="1" applyAlignment="1" applyProtection="1">
      <alignment/>
      <protection/>
    </xf>
    <xf numFmtId="0" fontId="20" fillId="37" borderId="20" xfId="45" applyFont="1" applyFill="1" applyBorder="1" applyAlignment="1" applyProtection="1">
      <alignment/>
      <protection/>
    </xf>
    <xf numFmtId="209" fontId="0" fillId="37" borderId="28" xfId="0" applyNumberFormat="1" applyFont="1" applyFill="1" applyBorder="1" applyAlignment="1" applyProtection="1">
      <alignment/>
      <protection/>
    </xf>
    <xf numFmtId="0" fontId="20" fillId="37" borderId="20" xfId="45" applyFill="1" applyBorder="1" applyAlignment="1" applyProtection="1">
      <alignment/>
      <protection/>
    </xf>
    <xf numFmtId="209" fontId="0" fillId="0" borderId="99" xfId="0" applyNumberFormat="1" applyBorder="1" applyAlignment="1" applyProtection="1">
      <alignment/>
      <protection/>
    </xf>
    <xf numFmtId="0" fontId="1" fillId="36" borderId="47" xfId="0" applyFont="1" applyFill="1" applyBorder="1" applyAlignment="1" applyProtection="1">
      <alignment/>
      <protection/>
    </xf>
    <xf numFmtId="209" fontId="1" fillId="36" borderId="51" xfId="0" applyNumberFormat="1" applyFont="1" applyFill="1" applyBorder="1" applyAlignment="1" applyProtection="1">
      <alignment/>
      <protection/>
    </xf>
    <xf numFmtId="209" fontId="0" fillId="0" borderId="46" xfId="0" applyNumberForma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33" borderId="95" xfId="0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/>
      <protection/>
    </xf>
    <xf numFmtId="177" fontId="0" fillId="0" borderId="28" xfId="41" applyNumberFormat="1" applyFont="1" applyBorder="1" applyAlignment="1" applyProtection="1">
      <alignment/>
      <protection/>
    </xf>
    <xf numFmtId="177" fontId="0" fillId="0" borderId="28" xfId="60" applyNumberFormat="1" applyFill="1" applyBorder="1" applyAlignment="1" applyProtection="1">
      <alignment/>
      <protection/>
    </xf>
    <xf numFmtId="0" fontId="20" fillId="0" borderId="97" xfId="45" applyFill="1" applyBorder="1" applyAlignment="1" applyProtection="1">
      <alignment/>
      <protection/>
    </xf>
    <xf numFmtId="0" fontId="1" fillId="36" borderId="92" xfId="0" applyFont="1" applyFill="1" applyBorder="1" applyAlignment="1" applyProtection="1">
      <alignment/>
      <protection/>
    </xf>
    <xf numFmtId="177" fontId="1" fillId="36" borderId="100" xfId="60" applyNumberFormat="1" applyFont="1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177" fontId="0" fillId="0" borderId="12" xfId="6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 locked="0"/>
    </xf>
    <xf numFmtId="177" fontId="0" fillId="0" borderId="14" xfId="60" applyNumberFormat="1" applyFill="1" applyBorder="1" applyAlignment="1" applyProtection="1">
      <alignment/>
      <protection/>
    </xf>
    <xf numFmtId="177" fontId="1" fillId="0" borderId="57" xfId="60" applyNumberFormat="1" applyFont="1" applyFill="1" applyBorder="1" applyAlignment="1" applyProtection="1">
      <alignment/>
      <protection/>
    </xf>
    <xf numFmtId="177" fontId="0" fillId="0" borderId="0" xfId="60" applyNumberFormat="1" applyFill="1" applyBorder="1" applyAlignment="1" applyProtection="1">
      <alignment/>
      <protection/>
    </xf>
    <xf numFmtId="0" fontId="14" fillId="0" borderId="57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36" borderId="34" xfId="0" applyFont="1" applyFill="1" applyBorder="1" applyAlignment="1" applyProtection="1">
      <alignment wrapText="1"/>
      <protection/>
    </xf>
    <xf numFmtId="0" fontId="33" fillId="36" borderId="35" xfId="0" applyFont="1" applyFill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177" fontId="2" fillId="37" borderId="21" xfId="0" applyNumberFormat="1" applyFont="1" applyFill="1" applyBorder="1" applyAlignment="1" applyProtection="1">
      <alignment/>
      <protection/>
    </xf>
    <xf numFmtId="177" fontId="2" fillId="37" borderId="0" xfId="0" applyNumberFormat="1" applyFont="1" applyFill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177" fontId="2" fillId="37" borderId="41" xfId="0" applyNumberFormat="1" applyFont="1" applyFill="1" applyBorder="1" applyAlignment="1" applyProtection="1">
      <alignment/>
      <protection/>
    </xf>
    <xf numFmtId="167" fontId="2" fillId="0" borderId="0" xfId="0" applyNumberFormat="1" applyFont="1" applyAlignment="1">
      <alignment/>
    </xf>
    <xf numFmtId="0" fontId="4" fillId="0" borderId="22" xfId="0" applyFont="1" applyBorder="1" applyAlignment="1" applyProtection="1">
      <alignment horizontal="center"/>
      <protection/>
    </xf>
    <xf numFmtId="0" fontId="2" fillId="37" borderId="21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2" fillId="37" borderId="22" xfId="0" applyFont="1" applyFill="1" applyBorder="1" applyAlignment="1" applyProtection="1">
      <alignment/>
      <protection/>
    </xf>
    <xf numFmtId="0" fontId="2" fillId="37" borderId="32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/>
      <protection/>
    </xf>
    <xf numFmtId="177" fontId="2" fillId="0" borderId="21" xfId="0" applyNumberFormat="1" applyFont="1" applyFill="1" applyBorder="1" applyAlignment="1" applyProtection="1">
      <alignment/>
      <protection/>
    </xf>
    <xf numFmtId="177" fontId="2" fillId="0" borderId="41" xfId="0" applyNumberFormat="1" applyFont="1" applyFill="1" applyBorder="1" applyAlignment="1" applyProtection="1">
      <alignment/>
      <protection/>
    </xf>
    <xf numFmtId="177" fontId="2" fillId="0" borderId="22" xfId="0" applyNumberFormat="1" applyFont="1" applyBorder="1" applyAlignment="1" applyProtection="1">
      <alignment/>
      <protection/>
    </xf>
    <xf numFmtId="0" fontId="4" fillId="36" borderId="62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177" fontId="2" fillId="0" borderId="0" xfId="41" applyNumberFormat="1" applyFont="1" applyAlignment="1">
      <alignment/>
    </xf>
    <xf numFmtId="0" fontId="2" fillId="0" borderId="21" xfId="0" applyFont="1" applyBorder="1" applyAlignment="1">
      <alignment/>
    </xf>
    <xf numFmtId="177" fontId="2" fillId="0" borderId="21" xfId="41" applyNumberFormat="1" applyFont="1" applyBorder="1" applyAlignment="1">
      <alignment/>
    </xf>
    <xf numFmtId="177" fontId="2" fillId="0" borderId="41" xfId="41" applyNumberFormat="1" applyFont="1" applyBorder="1" applyAlignment="1">
      <alignment/>
    </xf>
    <xf numFmtId="0" fontId="2" fillId="0" borderId="50" xfId="0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41" borderId="50" xfId="0" applyFont="1" applyFill="1" applyBorder="1" applyAlignment="1">
      <alignment/>
    </xf>
    <xf numFmtId="177" fontId="2" fillId="41" borderId="21" xfId="41" applyNumberFormat="1" applyFont="1" applyFill="1" applyBorder="1" applyAlignment="1">
      <alignment/>
    </xf>
    <xf numFmtId="177" fontId="2" fillId="41" borderId="41" xfId="41" applyNumberFormat="1" applyFont="1" applyFill="1" applyBorder="1" applyAlignment="1">
      <alignment/>
    </xf>
    <xf numFmtId="0" fontId="0" fillId="42" borderId="62" xfId="0" applyFill="1" applyBorder="1" applyAlignment="1">
      <alignment/>
    </xf>
    <xf numFmtId="0" fontId="9" fillId="33" borderId="62" xfId="0" applyFont="1" applyFill="1" applyBorder="1" applyAlignment="1" applyProtection="1">
      <alignment/>
      <protection/>
    </xf>
    <xf numFmtId="0" fontId="9" fillId="33" borderId="101" xfId="0" applyFont="1" applyFill="1" applyBorder="1" applyAlignment="1" applyProtection="1">
      <alignment/>
      <protection/>
    </xf>
    <xf numFmtId="0" fontId="9" fillId="33" borderId="34" xfId="0" applyFont="1" applyFill="1" applyBorder="1" applyAlignment="1" applyProtection="1">
      <alignment/>
      <protection/>
    </xf>
    <xf numFmtId="0" fontId="9" fillId="33" borderId="35" xfId="0" applyFont="1" applyFill="1" applyBorder="1" applyAlignment="1" applyProtection="1">
      <alignment/>
      <protection/>
    </xf>
    <xf numFmtId="0" fontId="0" fillId="34" borderId="34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" fillId="36" borderId="34" xfId="0" applyFont="1" applyFill="1" applyBorder="1" applyAlignment="1" applyProtection="1">
      <alignment wrapText="1"/>
      <protection/>
    </xf>
    <xf numFmtId="0" fontId="4" fillId="0" borderId="5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/>
    </xf>
    <xf numFmtId="177" fontId="34" fillId="0" borderId="21" xfId="0" applyNumberFormat="1" applyFont="1" applyFill="1" applyBorder="1" applyAlignment="1" applyProtection="1">
      <alignment/>
      <protection/>
    </xf>
    <xf numFmtId="177" fontId="2" fillId="0" borderId="21" xfId="0" applyNumberFormat="1" applyFont="1" applyBorder="1" applyAlignment="1" applyProtection="1">
      <alignment/>
      <protection/>
    </xf>
    <xf numFmtId="177" fontId="2" fillId="0" borderId="41" xfId="0" applyNumberFormat="1" applyFont="1" applyBorder="1" applyAlignment="1" applyProtection="1">
      <alignment/>
      <protection/>
    </xf>
    <xf numFmtId="0" fontId="2" fillId="0" borderId="62" xfId="0" applyFont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2" fillId="0" borderId="38" xfId="0" applyFont="1" applyBorder="1" applyAlignment="1" applyProtection="1">
      <alignment horizontal="center"/>
      <protection/>
    </xf>
    <xf numFmtId="0" fontId="4" fillId="36" borderId="62" xfId="0" applyFont="1" applyFill="1" applyBorder="1" applyAlignment="1" applyProtection="1">
      <alignment wrapText="1"/>
      <protection/>
    </xf>
    <xf numFmtId="0" fontId="2" fillId="0" borderId="5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77" fontId="0" fillId="0" borderId="25" xfId="41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02" xfId="0" applyFont="1" applyFill="1" applyBorder="1" applyAlignment="1">
      <alignment wrapText="1"/>
    </xf>
    <xf numFmtId="0" fontId="2" fillId="0" borderId="103" xfId="0" applyFont="1" applyFill="1" applyBorder="1" applyAlignment="1">
      <alignment wrapText="1"/>
    </xf>
    <xf numFmtId="0" fontId="2" fillId="0" borderId="104" xfId="0" applyFont="1" applyFill="1" applyBorder="1" applyAlignment="1">
      <alignment wrapText="1"/>
    </xf>
    <xf numFmtId="0" fontId="22" fillId="33" borderId="23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177" fontId="0" fillId="38" borderId="29" xfId="41" applyNumberFormat="1" applyFont="1" applyFill="1" applyBorder="1" applyAlignment="1">
      <alignment/>
    </xf>
    <xf numFmtId="170" fontId="0" fillId="0" borderId="0" xfId="41" applyFont="1" applyFill="1" applyBorder="1" applyAlignment="1">
      <alignment/>
    </xf>
    <xf numFmtId="170" fontId="0" fillId="0" borderId="12" xfId="60" applyFont="1" applyBorder="1" applyAlignment="1">
      <alignment/>
    </xf>
    <xf numFmtId="170" fontId="1" fillId="33" borderId="29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209" fontId="0" fillId="37" borderId="41" xfId="0" applyNumberFormat="1" applyFill="1" applyBorder="1" applyAlignment="1" applyProtection="1">
      <alignment/>
      <protection/>
    </xf>
    <xf numFmtId="177" fontId="0" fillId="37" borderId="21" xfId="41" applyNumberFormat="1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horizontal="right"/>
      <protection/>
    </xf>
    <xf numFmtId="0" fontId="1" fillId="37" borderId="21" xfId="0" applyFont="1" applyFill="1" applyBorder="1" applyAlignment="1" applyProtection="1">
      <alignment horizontal="right"/>
      <protection/>
    </xf>
    <xf numFmtId="209" fontId="1" fillId="37" borderId="21" xfId="0" applyNumberFormat="1" applyFont="1" applyFill="1" applyBorder="1" applyAlignment="1" applyProtection="1">
      <alignment horizontal="right"/>
      <protection/>
    </xf>
    <xf numFmtId="177" fontId="1" fillId="0" borderId="21" xfId="41" applyNumberFormat="1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horizontal="right"/>
      <protection locked="0"/>
    </xf>
    <xf numFmtId="177" fontId="1" fillId="38" borderId="29" xfId="0" applyNumberFormat="1" applyFont="1" applyFill="1" applyBorder="1" applyAlignment="1">
      <alignment/>
    </xf>
    <xf numFmtId="177" fontId="0" fillId="0" borderId="21" xfId="41" applyNumberFormat="1" applyFont="1" applyBorder="1" applyAlignment="1" applyProtection="1">
      <alignment/>
      <protection/>
    </xf>
    <xf numFmtId="177" fontId="0" fillId="0" borderId="21" xfId="0" applyNumberFormat="1" applyFont="1" applyBorder="1" applyAlignment="1" applyProtection="1">
      <alignment horizontal="right"/>
      <protection/>
    </xf>
    <xf numFmtId="0" fontId="35" fillId="33" borderId="0" xfId="0" applyFont="1" applyFill="1" applyBorder="1" applyAlignment="1" applyProtection="1">
      <alignment horizontal="left"/>
      <protection/>
    </xf>
    <xf numFmtId="178" fontId="0" fillId="0" borderId="22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224" fontId="1" fillId="0" borderId="24" xfId="47" applyNumberFormat="1" applyFont="1" applyBorder="1" applyAlignment="1">
      <alignment horizontal="right"/>
    </xf>
    <xf numFmtId="178" fontId="1" fillId="33" borderId="59" xfId="0" applyNumberFormat="1" applyFont="1" applyFill="1" applyBorder="1" applyAlignment="1">
      <alignment horizontal="center"/>
    </xf>
    <xf numFmtId="178" fontId="1" fillId="37" borderId="59" xfId="0" applyNumberFormat="1" applyFont="1" applyFill="1" applyBorder="1" applyAlignment="1">
      <alignment horizontal="center"/>
    </xf>
    <xf numFmtId="198" fontId="0" fillId="0" borderId="42" xfId="56" applyNumberFormat="1" applyFont="1" applyBorder="1" applyAlignment="1">
      <alignment horizontal="center"/>
    </xf>
    <xf numFmtId="198" fontId="0" fillId="0" borderId="59" xfId="56" applyNumberFormat="1" applyFont="1" applyBorder="1" applyAlignment="1">
      <alignment horizontal="center"/>
    </xf>
    <xf numFmtId="198" fontId="0" fillId="0" borderId="60" xfId="56" applyNumberFormat="1" applyFont="1" applyBorder="1" applyAlignment="1">
      <alignment horizontal="center"/>
    </xf>
    <xf numFmtId="198" fontId="0" fillId="0" borderId="43" xfId="56" applyNumberFormat="1" applyFont="1" applyBorder="1" applyAlignment="1">
      <alignment horizontal="center"/>
    </xf>
    <xf numFmtId="198" fontId="0" fillId="37" borderId="59" xfId="56" applyNumberFormat="1" applyFont="1" applyFill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  <xf numFmtId="177" fontId="0" fillId="0" borderId="60" xfId="41" applyNumberFormat="1" applyFont="1" applyBorder="1" applyAlignment="1">
      <alignment/>
    </xf>
    <xf numFmtId="9" fontId="0" fillId="33" borderId="24" xfId="0" applyNumberFormat="1" applyFill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3" xfId="41" applyNumberFormat="1" applyFont="1" applyBorder="1" applyAlignment="1">
      <alignment/>
    </xf>
    <xf numFmtId="177" fontId="1" fillId="33" borderId="24" xfId="41" applyNumberFormat="1" applyFont="1" applyFill="1" applyBorder="1" applyAlignment="1">
      <alignment/>
    </xf>
    <xf numFmtId="177" fontId="1" fillId="33" borderId="29" xfId="41" applyNumberFormat="1" applyFont="1" applyFill="1" applyBorder="1" applyAlignment="1">
      <alignment/>
    </xf>
    <xf numFmtId="177" fontId="1" fillId="33" borderId="19" xfId="41" applyNumberFormat="1" applyFont="1" applyFill="1" applyBorder="1" applyAlignment="1">
      <alignment/>
    </xf>
    <xf numFmtId="177" fontId="1" fillId="33" borderId="14" xfId="41" applyNumberFormat="1" applyFont="1" applyFill="1" applyBorder="1" applyAlignment="1">
      <alignment/>
    </xf>
    <xf numFmtId="177" fontId="0" fillId="0" borderId="22" xfId="41" applyNumberFormat="1" applyFont="1" applyBorder="1" applyAlignment="1" applyProtection="1">
      <alignment/>
      <protection/>
    </xf>
    <xf numFmtId="0" fontId="0" fillId="0" borderId="56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177" fontId="0" fillId="0" borderId="38" xfId="41" applyNumberFormat="1" applyFont="1" applyBorder="1" applyAlignment="1" applyProtection="1">
      <alignment/>
      <protection/>
    </xf>
    <xf numFmtId="0" fontId="1" fillId="0" borderId="62" xfId="0" applyFont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177" fontId="1" fillId="0" borderId="32" xfId="41" applyNumberFormat="1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177" fontId="0" fillId="0" borderId="50" xfId="41" applyNumberFormat="1" applyFont="1" applyBorder="1" applyAlignment="1" applyProtection="1">
      <alignment/>
      <protection/>
    </xf>
    <xf numFmtId="0" fontId="1" fillId="0" borderId="62" xfId="0" applyFont="1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77" fontId="0" fillId="0" borderId="36" xfId="41" applyNumberFormat="1" applyFont="1" applyBorder="1" applyAlignment="1" applyProtection="1">
      <alignment/>
      <protection/>
    </xf>
    <xf numFmtId="177" fontId="1" fillId="0" borderId="38" xfId="41" applyNumberFormat="1" applyFont="1" applyBorder="1" applyAlignment="1" applyProtection="1">
      <alignment/>
      <protection/>
    </xf>
    <xf numFmtId="177" fontId="0" fillId="0" borderId="95" xfId="41" applyNumberFormat="1" applyFont="1" applyBorder="1" applyAlignment="1" applyProtection="1">
      <alignment/>
      <protection/>
    </xf>
    <xf numFmtId="9" fontId="0" fillId="0" borderId="0" xfId="0" applyNumberFormat="1" applyBorder="1" applyAlignment="1" applyProtection="1">
      <alignment/>
      <protection/>
    </xf>
    <xf numFmtId="0" fontId="2" fillId="37" borderId="38" xfId="0" applyFont="1" applyFill="1" applyBorder="1" applyAlignment="1" applyProtection="1">
      <alignment horizontal="center"/>
      <protection/>
    </xf>
    <xf numFmtId="10" fontId="0" fillId="42" borderId="35" xfId="56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177" fontId="0" fillId="0" borderId="12" xfId="41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31" xfId="41" applyNumberFormat="1" applyFont="1" applyBorder="1" applyAlignment="1">
      <alignment/>
    </xf>
    <xf numFmtId="177" fontId="0" fillId="0" borderId="43" xfId="41" applyNumberFormat="1" applyFont="1" applyBorder="1" applyAlignment="1">
      <alignment/>
    </xf>
    <xf numFmtId="177" fontId="0" fillId="0" borderId="11" xfId="41" applyNumberFormat="1" applyFont="1" applyBorder="1" applyAlignment="1">
      <alignment/>
    </xf>
    <xf numFmtId="177" fontId="0" fillId="0" borderId="105" xfId="41" applyNumberFormat="1" applyFont="1" applyBorder="1" applyAlignment="1">
      <alignment/>
    </xf>
    <xf numFmtId="177" fontId="0" fillId="0" borderId="58" xfId="41" applyNumberFormat="1" applyFont="1" applyBorder="1" applyAlignment="1">
      <alignment/>
    </xf>
    <xf numFmtId="177" fontId="0" fillId="0" borderId="16" xfId="0" applyNumberFormat="1" applyBorder="1" applyAlignment="1">
      <alignment/>
    </xf>
    <xf numFmtId="177" fontId="1" fillId="37" borderId="19" xfId="41" applyNumberFormat="1" applyFont="1" applyFill="1" applyBorder="1" applyAlignment="1">
      <alignment/>
    </xf>
    <xf numFmtId="177" fontId="1" fillId="37" borderId="26" xfId="41" applyNumberFormat="1" applyFont="1" applyFill="1" applyBorder="1" applyAlignment="1">
      <alignment/>
    </xf>
    <xf numFmtId="177" fontId="1" fillId="37" borderId="14" xfId="41" applyNumberFormat="1" applyFont="1" applyFill="1" applyBorder="1" applyAlignment="1">
      <alignment/>
    </xf>
    <xf numFmtId="177" fontId="1" fillId="37" borderId="11" xfId="0" applyNumberFormat="1" applyFont="1" applyFill="1" applyBorder="1" applyAlignment="1">
      <alignment/>
    </xf>
    <xf numFmtId="177" fontId="1" fillId="37" borderId="24" xfId="41" applyNumberFormat="1" applyFont="1" applyFill="1" applyBorder="1" applyAlignment="1">
      <alignment/>
    </xf>
    <xf numFmtId="177" fontId="1" fillId="37" borderId="27" xfId="41" applyNumberFormat="1" applyFont="1" applyFill="1" applyBorder="1" applyAlignment="1">
      <alignment/>
    </xf>
    <xf numFmtId="177" fontId="1" fillId="37" borderId="29" xfId="41" applyNumberFormat="1" applyFont="1" applyFill="1" applyBorder="1" applyAlignment="1">
      <alignment/>
    </xf>
    <xf numFmtId="177" fontId="1" fillId="37" borderId="31" xfId="41" applyNumberFormat="1" applyFont="1" applyFill="1" applyBorder="1" applyAlignment="1">
      <alignment/>
    </xf>
    <xf numFmtId="177" fontId="1" fillId="41" borderId="24" xfId="0" applyNumberFormat="1" applyFont="1" applyFill="1" applyBorder="1" applyAlignment="1">
      <alignment/>
    </xf>
    <xf numFmtId="0" fontId="1" fillId="41" borderId="23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1" fillId="33" borderId="23" xfId="0" applyFont="1" applyFill="1" applyBorder="1" applyAlignment="1">
      <alignment textRotation="90"/>
    </xf>
    <xf numFmtId="0" fontId="1" fillId="33" borderId="24" xfId="0" applyFont="1" applyFill="1" applyBorder="1" applyAlignment="1">
      <alignment textRotation="90"/>
    </xf>
    <xf numFmtId="0" fontId="1" fillId="33" borderId="29" xfId="0" applyFont="1" applyFill="1" applyBorder="1" applyAlignment="1">
      <alignment textRotation="90"/>
    </xf>
    <xf numFmtId="0" fontId="1" fillId="33" borderId="31" xfId="0" applyFont="1" applyFill="1" applyBorder="1" applyAlignment="1">
      <alignment textRotation="90"/>
    </xf>
    <xf numFmtId="0" fontId="1" fillId="37" borderId="17" xfId="0" applyFont="1" applyFill="1" applyBorder="1" applyAlignment="1">
      <alignment/>
    </xf>
    <xf numFmtId="177" fontId="1" fillId="41" borderId="59" xfId="0" applyNumberFormat="1" applyFont="1" applyFill="1" applyBorder="1" applyAlignment="1">
      <alignment/>
    </xf>
    <xf numFmtId="9" fontId="0" fillId="0" borderId="21" xfId="56" applyFont="1" applyFill="1" applyBorder="1" applyAlignment="1" applyProtection="1">
      <alignment horizontal="right"/>
      <protection/>
    </xf>
    <xf numFmtId="177" fontId="0" fillId="0" borderId="21" xfId="41" applyNumberFormat="1" applyFont="1" applyFill="1" applyBorder="1" applyAlignment="1" applyProtection="1">
      <alignment/>
      <protection locked="0"/>
    </xf>
    <xf numFmtId="177" fontId="1" fillId="38" borderId="31" xfId="0" applyNumberFormat="1" applyFont="1" applyFill="1" applyBorder="1" applyAlignment="1">
      <alignment/>
    </xf>
    <xf numFmtId="0" fontId="14" fillId="33" borderId="19" xfId="0" applyFont="1" applyFill="1" applyBorder="1" applyAlignment="1">
      <alignment textRotation="90"/>
    </xf>
    <xf numFmtId="0" fontId="14" fillId="33" borderId="24" xfId="0" applyFont="1" applyFill="1" applyBorder="1" applyAlignment="1">
      <alignment textRotation="90"/>
    </xf>
    <xf numFmtId="0" fontId="14" fillId="33" borderId="18" xfId="0" applyFont="1" applyFill="1" applyBorder="1" applyAlignment="1">
      <alignment textRotation="90"/>
    </xf>
    <xf numFmtId="0" fontId="14" fillId="33" borderId="0" xfId="0" applyFont="1" applyFill="1" applyBorder="1" applyAlignment="1">
      <alignment textRotation="90"/>
    </xf>
    <xf numFmtId="0" fontId="14" fillId="33" borderId="29" xfId="0" applyFont="1" applyFill="1" applyBorder="1" applyAlignment="1">
      <alignment textRotation="90"/>
    </xf>
    <xf numFmtId="0" fontId="14" fillId="33" borderId="17" xfId="0" applyFont="1" applyFill="1" applyBorder="1" applyAlignment="1">
      <alignment/>
    </xf>
    <xf numFmtId="0" fontId="1" fillId="33" borderId="20" xfId="0" applyFont="1" applyFill="1" applyBorder="1" applyAlignment="1">
      <alignment textRotation="90"/>
    </xf>
    <xf numFmtId="171" fontId="0" fillId="0" borderId="0" xfId="47" applyFont="1" applyAlignment="1">
      <alignment/>
    </xf>
    <xf numFmtId="0" fontId="0" fillId="0" borderId="0" xfId="0" applyBorder="1" applyAlignment="1">
      <alignment horizontal="center"/>
    </xf>
    <xf numFmtId="0" fontId="2" fillId="33" borderId="5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0" fontId="0" fillId="0" borderId="27" xfId="56" applyNumberFormat="1" applyFont="1" applyBorder="1" applyAlignment="1">
      <alignment/>
    </xf>
    <xf numFmtId="10" fontId="0" fillId="0" borderId="21" xfId="56" applyNumberFormat="1" applyFont="1" applyFill="1" applyBorder="1" applyAlignment="1" applyProtection="1">
      <alignment/>
      <protection locked="0"/>
    </xf>
    <xf numFmtId="0" fontId="1" fillId="33" borderId="23" xfId="0" applyFont="1" applyFill="1" applyBorder="1" applyAlignment="1">
      <alignment horizontal="left"/>
    </xf>
    <xf numFmtId="10" fontId="0" fillId="0" borderId="27" xfId="0" applyNumberFormat="1" applyBorder="1" applyAlignment="1">
      <alignment/>
    </xf>
    <xf numFmtId="0" fontId="14" fillId="33" borderId="23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177" fontId="1" fillId="33" borderId="23" xfId="41" applyNumberFormat="1" applyFont="1" applyFill="1" applyBorder="1" applyAlignment="1">
      <alignment/>
    </xf>
    <xf numFmtId="9" fontId="1" fillId="33" borderId="23" xfId="56" applyFont="1" applyFill="1" applyBorder="1" applyAlignment="1">
      <alignment/>
    </xf>
    <xf numFmtId="9" fontId="1" fillId="33" borderId="29" xfId="56" applyFont="1" applyFill="1" applyBorder="1" applyAlignment="1">
      <alignment/>
    </xf>
    <xf numFmtId="0" fontId="2" fillId="33" borderId="53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27" xfId="0" applyFont="1" applyFill="1" applyBorder="1" applyAlignment="1">
      <alignment textRotation="90"/>
    </xf>
    <xf numFmtId="0" fontId="1" fillId="33" borderId="30" xfId="0" applyFont="1" applyFill="1" applyBorder="1" applyAlignment="1">
      <alignment textRotation="90"/>
    </xf>
    <xf numFmtId="0" fontId="1" fillId="33" borderId="59" xfId="0" applyFont="1" applyFill="1" applyBorder="1" applyAlignment="1">
      <alignment textRotation="90"/>
    </xf>
    <xf numFmtId="0" fontId="0" fillId="0" borderId="12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15" fontId="0" fillId="0" borderId="15" xfId="47" applyNumberFormat="1" applyFont="1" applyBorder="1" applyAlignment="1">
      <alignment/>
    </xf>
    <xf numFmtId="215" fontId="0" fillId="0" borderId="10" xfId="47" applyNumberFormat="1" applyFont="1" applyBorder="1" applyAlignment="1">
      <alignment/>
    </xf>
    <xf numFmtId="215" fontId="0" fillId="33" borderId="31" xfId="0" applyNumberFormat="1" applyFill="1" applyBorder="1" applyAlignment="1">
      <alignment/>
    </xf>
    <xf numFmtId="215" fontId="0" fillId="0" borderId="0" xfId="0" applyNumberFormat="1" applyAlignment="1">
      <alignment/>
    </xf>
    <xf numFmtId="177" fontId="0" fillId="0" borderId="57" xfId="41" applyNumberFormat="1" applyFont="1" applyBorder="1" applyAlignment="1">
      <alignment/>
    </xf>
    <xf numFmtId="0" fontId="1" fillId="33" borderId="24" xfId="0" applyFont="1" applyFill="1" applyBorder="1" applyAlignment="1">
      <alignment textRotation="90" wrapText="1"/>
    </xf>
    <xf numFmtId="206" fontId="0" fillId="0" borderId="0" xfId="41" applyNumberFormat="1" applyFont="1" applyAlignment="1">
      <alignment/>
    </xf>
    <xf numFmtId="177" fontId="0" fillId="0" borderId="15" xfId="41" applyNumberFormat="1" applyFont="1" applyBorder="1" applyAlignment="1">
      <alignment/>
    </xf>
    <xf numFmtId="0" fontId="1" fillId="33" borderId="11" xfId="0" applyFont="1" applyFill="1" applyBorder="1" applyAlignment="1">
      <alignment textRotation="90"/>
    </xf>
    <xf numFmtId="0" fontId="2" fillId="0" borderId="0" xfId="0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15" fontId="0" fillId="0" borderId="10" xfId="47" applyNumberFormat="1" applyFont="1" applyBorder="1" applyAlignment="1">
      <alignment horizontal="right"/>
    </xf>
    <xf numFmtId="215" fontId="0" fillId="0" borderId="11" xfId="47" applyNumberFormat="1" applyFont="1" applyBorder="1" applyAlignment="1">
      <alignment/>
    </xf>
    <xf numFmtId="0" fontId="1" fillId="33" borderId="31" xfId="0" applyFont="1" applyFill="1" applyBorder="1" applyAlignment="1">
      <alignment/>
    </xf>
    <xf numFmtId="215" fontId="1" fillId="0" borderId="31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215" fontId="0" fillId="0" borderId="15" xfId="47" applyNumberFormat="1" applyFont="1" applyFill="1" applyBorder="1" applyAlignment="1">
      <alignment/>
    </xf>
    <xf numFmtId="215" fontId="0" fillId="0" borderId="10" xfId="0" applyNumberFormat="1" applyBorder="1" applyAlignment="1">
      <alignment/>
    </xf>
    <xf numFmtId="215" fontId="0" fillId="0" borderId="15" xfId="0" applyNumberFormat="1" applyBorder="1" applyAlignment="1">
      <alignment/>
    </xf>
    <xf numFmtId="215" fontId="0" fillId="0" borderId="11" xfId="0" applyNumberFormat="1" applyBorder="1" applyAlignment="1">
      <alignment/>
    </xf>
    <xf numFmtId="177" fontId="0" fillId="0" borderId="16" xfId="41" applyNumberFormat="1" applyFont="1" applyBorder="1" applyAlignment="1">
      <alignment/>
    </xf>
    <xf numFmtId="177" fontId="0" fillId="0" borderId="20" xfId="41" applyNumberFormat="1" applyFont="1" applyBorder="1" applyAlignment="1">
      <alignment/>
    </xf>
    <xf numFmtId="177" fontId="0" fillId="0" borderId="17" xfId="41" applyNumberFormat="1" applyFont="1" applyBorder="1" applyAlignment="1">
      <alignment/>
    </xf>
    <xf numFmtId="0" fontId="0" fillId="0" borderId="61" xfId="0" applyBorder="1" applyAlignment="1">
      <alignment/>
    </xf>
    <xf numFmtId="0" fontId="0" fillId="0" borderId="60" xfId="0" applyBorder="1" applyAlignment="1">
      <alignment/>
    </xf>
    <xf numFmtId="0" fontId="0" fillId="0" borderId="11" xfId="0" applyFont="1" applyFill="1" applyBorder="1" applyAlignment="1">
      <alignment/>
    </xf>
    <xf numFmtId="177" fontId="0" fillId="0" borderId="59" xfId="41" applyNumberFormat="1" applyFont="1" applyBorder="1" applyAlignment="1">
      <alignment/>
    </xf>
    <xf numFmtId="0" fontId="0" fillId="37" borderId="11" xfId="0" applyFont="1" applyFill="1" applyBorder="1" applyAlignment="1">
      <alignment/>
    </xf>
    <xf numFmtId="215" fontId="0" fillId="37" borderId="11" xfId="0" applyNumberFormat="1" applyFill="1" applyBorder="1" applyAlignment="1">
      <alignment/>
    </xf>
    <xf numFmtId="9" fontId="0" fillId="37" borderId="11" xfId="56" applyFont="1" applyFill="1" applyBorder="1" applyAlignment="1">
      <alignment/>
    </xf>
    <xf numFmtId="177" fontId="0" fillId="37" borderId="17" xfId="41" applyNumberFormat="1" applyFont="1" applyFill="1" applyBorder="1" applyAlignment="1">
      <alignment/>
    </xf>
    <xf numFmtId="177" fontId="0" fillId="37" borderId="19" xfId="41" applyNumberFormat="1" applyFont="1" applyFill="1" applyBorder="1" applyAlignment="1">
      <alignment/>
    </xf>
    <xf numFmtId="177" fontId="0" fillId="37" borderId="43" xfId="41" applyNumberFormat="1" applyFont="1" applyFill="1" applyBorder="1" applyAlignment="1">
      <alignment/>
    </xf>
    <xf numFmtId="177" fontId="0" fillId="37" borderId="17" xfId="0" applyNumberFormat="1" applyFill="1" applyBorder="1" applyAlignment="1">
      <alignment/>
    </xf>
    <xf numFmtId="177" fontId="0" fillId="37" borderId="19" xfId="0" applyNumberFormat="1" applyFill="1" applyBorder="1" applyAlignment="1">
      <alignment/>
    </xf>
    <xf numFmtId="177" fontId="0" fillId="37" borderId="14" xfId="41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215" fontId="0" fillId="37" borderId="10" xfId="0" applyNumberFormat="1" applyFill="1" applyBorder="1" applyAlignment="1">
      <alignment/>
    </xf>
    <xf numFmtId="9" fontId="0" fillId="37" borderId="10" xfId="56" applyFont="1" applyFill="1" applyBorder="1" applyAlignment="1">
      <alignment/>
    </xf>
    <xf numFmtId="177" fontId="0" fillId="37" borderId="20" xfId="41" applyNumberFormat="1" applyFont="1" applyFill="1" applyBorder="1" applyAlignment="1">
      <alignment/>
    </xf>
    <xf numFmtId="177" fontId="0" fillId="37" borderId="21" xfId="41" applyNumberFormat="1" applyFont="1" applyFill="1" applyBorder="1" applyAlignment="1">
      <alignment/>
    </xf>
    <xf numFmtId="177" fontId="0" fillId="37" borderId="42" xfId="41" applyNumberFormat="1" applyFont="1" applyFill="1" applyBorder="1" applyAlignment="1">
      <alignment/>
    </xf>
    <xf numFmtId="177" fontId="0" fillId="37" borderId="21" xfId="0" applyNumberFormat="1" applyFill="1" applyBorder="1" applyAlignment="1">
      <alignment/>
    </xf>
    <xf numFmtId="0" fontId="0" fillId="0" borderId="29" xfId="0" applyFont="1" applyBorder="1" applyAlignment="1">
      <alignment/>
    </xf>
    <xf numFmtId="215" fontId="0" fillId="0" borderId="29" xfId="0" applyNumberFormat="1" applyBorder="1" applyAlignment="1">
      <alignment/>
    </xf>
    <xf numFmtId="0" fontId="1" fillId="41" borderId="11" xfId="0" applyFont="1" applyFill="1" applyBorder="1" applyAlignment="1">
      <alignment/>
    </xf>
    <xf numFmtId="0" fontId="0" fillId="41" borderId="14" xfId="0" applyFont="1" applyFill="1" applyBorder="1" applyAlignment="1">
      <alignment/>
    </xf>
    <xf numFmtId="215" fontId="0" fillId="41" borderId="14" xfId="0" applyNumberFormat="1" applyFill="1" applyBorder="1" applyAlignment="1">
      <alignment/>
    </xf>
    <xf numFmtId="177" fontId="0" fillId="41" borderId="12" xfId="41" applyNumberFormat="1" applyFont="1" applyFill="1" applyBorder="1" applyAlignment="1">
      <alignment/>
    </xf>
    <xf numFmtId="177" fontId="0" fillId="41" borderId="24" xfId="41" applyNumberFormat="1" applyFont="1" applyFill="1" applyBorder="1" applyAlignment="1">
      <alignment/>
    </xf>
    <xf numFmtId="177" fontId="0" fillId="41" borderId="14" xfId="41" applyNumberFormat="1" applyFont="1" applyFill="1" applyBorder="1" applyAlignment="1">
      <alignment/>
    </xf>
    <xf numFmtId="177" fontId="0" fillId="41" borderId="30" xfId="41" applyNumberFormat="1" applyFont="1" applyFill="1" applyBorder="1" applyAlignment="1">
      <alignment/>
    </xf>
    <xf numFmtId="177" fontId="0" fillId="41" borderId="59" xfId="41" applyNumberFormat="1" applyFont="1" applyFill="1" applyBorder="1" applyAlignment="1">
      <alignment/>
    </xf>
    <xf numFmtId="177" fontId="0" fillId="38" borderId="11" xfId="41" applyNumberFormat="1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37" borderId="55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1" fillId="37" borderId="55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0" fillId="34" borderId="106" xfId="0" applyFont="1" applyFill="1" applyBorder="1" applyAlignment="1">
      <alignment horizontal="left"/>
    </xf>
    <xf numFmtId="0" fontId="0" fillId="0" borderId="91" xfId="0" applyBorder="1" applyAlignment="1">
      <alignment/>
    </xf>
    <xf numFmtId="0" fontId="26" fillId="39" borderId="103" xfId="0" applyFont="1" applyFill="1" applyBorder="1" applyAlignment="1">
      <alignment horizontal="justify" vertical="center" textRotation="90"/>
    </xf>
    <xf numFmtId="0" fontId="0" fillId="0" borderId="103" xfId="0" applyBorder="1" applyAlignment="1">
      <alignment horizontal="justify" vertical="center" textRotation="90"/>
    </xf>
    <xf numFmtId="0" fontId="0" fillId="0" borderId="104" xfId="0" applyBorder="1" applyAlignment="1">
      <alignment horizontal="justify" vertical="center" textRotation="90"/>
    </xf>
    <xf numFmtId="0" fontId="2" fillId="34" borderId="102" xfId="0" applyFont="1" applyFill="1" applyBorder="1" applyAlignment="1">
      <alignment horizontal="center" wrapText="1"/>
    </xf>
    <xf numFmtId="0" fontId="2" fillId="34" borderId="103" xfId="0" applyFont="1" applyFill="1" applyBorder="1" applyAlignment="1">
      <alignment horizontal="center" wrapText="1"/>
    </xf>
    <xf numFmtId="0" fontId="2" fillId="34" borderId="104" xfId="0" applyFont="1" applyFill="1" applyBorder="1" applyAlignment="1">
      <alignment horizontal="center" wrapText="1"/>
    </xf>
    <xf numFmtId="0" fontId="26" fillId="39" borderId="107" xfId="0" applyFont="1" applyFill="1" applyBorder="1" applyAlignment="1">
      <alignment horizontal="center" vertical="center" textRotation="90"/>
    </xf>
    <xf numFmtId="0" fontId="26" fillId="39" borderId="76" xfId="0" applyFont="1" applyFill="1" applyBorder="1" applyAlignment="1">
      <alignment horizontal="center" vertical="center" textRotation="90"/>
    </xf>
    <xf numFmtId="0" fontId="0" fillId="0" borderId="76" xfId="0" applyBorder="1" applyAlignment="1">
      <alignment/>
    </xf>
    <xf numFmtId="0" fontId="0" fillId="0" borderId="106" xfId="0" applyBorder="1" applyAlignment="1">
      <alignment/>
    </xf>
    <xf numFmtId="16" fontId="2" fillId="34" borderId="102" xfId="0" applyNumberFormat="1" applyFont="1" applyFill="1" applyBorder="1" applyAlignment="1">
      <alignment horizontal="center" wrapText="1"/>
    </xf>
    <xf numFmtId="16" fontId="2" fillId="34" borderId="103" xfId="0" applyNumberFormat="1" applyFont="1" applyFill="1" applyBorder="1" applyAlignment="1">
      <alignment horizontal="center" wrapText="1"/>
    </xf>
    <xf numFmtId="16" fontId="2" fillId="34" borderId="104" xfId="0" applyNumberFormat="1" applyFont="1" applyFill="1" applyBorder="1" applyAlignment="1">
      <alignment horizontal="center" wrapText="1"/>
    </xf>
    <xf numFmtId="0" fontId="26" fillId="42" borderId="102" xfId="0" applyFont="1" applyFill="1" applyBorder="1" applyAlignment="1">
      <alignment horizontal="center" vertical="center" textRotation="90"/>
    </xf>
    <xf numFmtId="0" fontId="26" fillId="0" borderId="103" xfId="0" applyFont="1" applyBorder="1" applyAlignment="1">
      <alignment horizontal="center" vertical="center" textRotation="90"/>
    </xf>
    <xf numFmtId="0" fontId="26" fillId="0" borderId="104" xfId="0" applyFont="1" applyBorder="1" applyAlignment="1">
      <alignment horizontal="center" vertical="center" textRotation="90"/>
    </xf>
    <xf numFmtId="0" fontId="26" fillId="39" borderId="106" xfId="0" applyFont="1" applyFill="1" applyBorder="1" applyAlignment="1">
      <alignment horizontal="center" vertical="center" textRotation="90"/>
    </xf>
    <xf numFmtId="0" fontId="0" fillId="34" borderId="107" xfId="0" applyFill="1" applyBorder="1" applyAlignment="1">
      <alignment horizontal="left"/>
    </xf>
    <xf numFmtId="0" fontId="0" fillId="0" borderId="89" xfId="0" applyBorder="1" applyAlignment="1">
      <alignment/>
    </xf>
    <xf numFmtId="16" fontId="2" fillId="34" borderId="108" xfId="0" applyNumberFormat="1" applyFont="1" applyFill="1" applyBorder="1" applyAlignment="1">
      <alignment horizontal="left" vertical="center" wrapText="1"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0" fillId="34" borderId="76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6" fillId="39" borderId="109" xfId="0" applyFont="1" applyFill="1" applyBorder="1" applyAlignment="1">
      <alignment horizontal="center" vertical="center" textRotation="90"/>
    </xf>
    <xf numFmtId="0" fontId="0" fillId="0" borderId="110" xfId="0" applyBorder="1" applyAlignment="1">
      <alignment horizontal="center" vertical="center" textRotation="90"/>
    </xf>
    <xf numFmtId="0" fontId="0" fillId="0" borderId="111" xfId="0" applyBorder="1" applyAlignment="1">
      <alignment horizontal="center" vertical="center" textRotation="90"/>
    </xf>
    <xf numFmtId="0" fontId="26" fillId="39" borderId="103" xfId="0" applyFont="1" applyFill="1" applyBorder="1" applyAlignment="1">
      <alignment horizontal="center" vertical="center" textRotation="90"/>
    </xf>
    <xf numFmtId="0" fontId="26" fillId="39" borderId="104" xfId="0" applyFont="1" applyFill="1" applyBorder="1" applyAlignment="1">
      <alignment horizontal="center" vertical="center" textRotation="90"/>
    </xf>
    <xf numFmtId="0" fontId="0" fillId="34" borderId="67" xfId="0" applyFont="1" applyFill="1" applyBorder="1" applyAlignment="1">
      <alignment horizontal="center"/>
    </xf>
    <xf numFmtId="0" fontId="0" fillId="34" borderId="82" xfId="0" applyFont="1" applyFill="1" applyBorder="1" applyAlignment="1">
      <alignment horizontal="center"/>
    </xf>
    <xf numFmtId="0" fontId="26" fillId="39" borderId="102" xfId="0" applyFont="1" applyFill="1" applyBorder="1" applyAlignment="1">
      <alignment horizontal="center" vertical="center" textRotation="90"/>
    </xf>
    <xf numFmtId="0" fontId="27" fillId="39" borderId="107" xfId="0" applyFont="1" applyFill="1" applyBorder="1" applyAlignment="1">
      <alignment horizontal="center"/>
    </xf>
    <xf numFmtId="0" fontId="27" fillId="39" borderId="108" xfId="0" applyFont="1" applyFill="1" applyBorder="1" applyAlignment="1">
      <alignment horizontal="center"/>
    </xf>
    <xf numFmtId="0" fontId="27" fillId="39" borderId="106" xfId="0" applyFont="1" applyFill="1" applyBorder="1" applyAlignment="1">
      <alignment horizontal="center"/>
    </xf>
    <xf numFmtId="0" fontId="27" fillId="39" borderId="90" xfId="0" applyFont="1" applyFill="1" applyBorder="1" applyAlignment="1">
      <alignment horizontal="center"/>
    </xf>
    <xf numFmtId="0" fontId="28" fillId="39" borderId="112" xfId="0" applyFont="1" applyFill="1" applyBorder="1" applyAlignment="1">
      <alignment horizontal="right"/>
    </xf>
    <xf numFmtId="0" fontId="28" fillId="39" borderId="113" xfId="0" applyFont="1" applyFill="1" applyBorder="1" applyAlignment="1">
      <alignment horizontal="right"/>
    </xf>
    <xf numFmtId="0" fontId="28" fillId="39" borderId="64" xfId="0" applyFont="1" applyFill="1" applyBorder="1" applyAlignment="1">
      <alignment horizontal="right"/>
    </xf>
    <xf numFmtId="16" fontId="2" fillId="34" borderId="88" xfId="0" applyNumberFormat="1" applyFont="1" applyFill="1" applyBorder="1" applyAlignment="1">
      <alignment horizontal="left" vertical="center" wrapText="1"/>
    </xf>
    <xf numFmtId="16" fontId="2" fillId="34" borderId="90" xfId="0" applyNumberFormat="1" applyFont="1" applyFill="1" applyBorder="1" applyAlignment="1">
      <alignment horizontal="left" vertical="center" wrapText="1"/>
    </xf>
    <xf numFmtId="0" fontId="2" fillId="34" borderId="108" xfId="0" applyFont="1" applyFill="1" applyBorder="1" applyAlignment="1">
      <alignment horizontal="center" wrapText="1"/>
    </xf>
    <xf numFmtId="0" fontId="2" fillId="34" borderId="88" xfId="0" applyFont="1" applyFill="1" applyBorder="1" applyAlignment="1">
      <alignment horizontal="center" wrapText="1"/>
    </xf>
    <xf numFmtId="0" fontId="2" fillId="34" borderId="9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4991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4991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800100</xdr:colOff>
      <xdr:row>3</xdr:row>
      <xdr:rowOff>114300</xdr:rowOff>
    </xdr:to>
    <xdr:pic>
      <xdr:nvPicPr>
        <xdr:cNvPr id="3" name="Picture 8" descr="Logo Acc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266700"/>
          <a:ext cx="165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1466850</xdr:colOff>
      <xdr:row>31</xdr:row>
      <xdr:rowOff>95250</xdr:rowOff>
    </xdr:from>
    <xdr:to>
      <xdr:col>1</xdr:col>
      <xdr:colOff>371475</xdr:colOff>
      <xdr:row>31</xdr:row>
      <xdr:rowOff>95250</xdr:rowOff>
    </xdr:to>
    <xdr:sp>
      <xdr:nvSpPr>
        <xdr:cNvPr id="4" name="Line 9"/>
        <xdr:cNvSpPr>
          <a:spLocks/>
        </xdr:cNvSpPr>
      </xdr:nvSpPr>
      <xdr:spPr>
        <a:xfrm>
          <a:off x="1466850" y="52387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31</xdr:row>
      <xdr:rowOff>104775</xdr:rowOff>
    </xdr:from>
    <xdr:to>
      <xdr:col>2</xdr:col>
      <xdr:colOff>266700</xdr:colOff>
      <xdr:row>31</xdr:row>
      <xdr:rowOff>104775</xdr:rowOff>
    </xdr:to>
    <xdr:sp>
      <xdr:nvSpPr>
        <xdr:cNvPr id="5" name="Line 10"/>
        <xdr:cNvSpPr>
          <a:spLocks/>
        </xdr:cNvSpPr>
      </xdr:nvSpPr>
      <xdr:spPr>
        <a:xfrm>
          <a:off x="3019425" y="5248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T106"/>
  <sheetViews>
    <sheetView tabSelected="1" zoomScaleSheetLayoutView="75" zoomScalePageLayoutView="0" workbookViewId="0" topLeftCell="A1">
      <selection activeCell="E19" sqref="E19:E20"/>
    </sheetView>
  </sheetViews>
  <sheetFormatPr defaultColWidth="9.140625" defaultRowHeight="12.75"/>
  <cols>
    <col min="1" max="1" width="33.8515625" style="106" customWidth="1"/>
    <col min="2" max="2" width="18.00390625" style="106" customWidth="1"/>
    <col min="3" max="3" width="15.28125" style="106" customWidth="1"/>
    <col min="4" max="4" width="7.7109375" style="106" bestFit="1" customWidth="1"/>
    <col min="5" max="5" width="15.28125" style="106" customWidth="1"/>
    <col min="6" max="6" width="4.140625" style="106" customWidth="1"/>
    <col min="7" max="7" width="15.57421875" style="106" bestFit="1" customWidth="1"/>
    <col min="8" max="8" width="12.8515625" style="106" bestFit="1" customWidth="1"/>
    <col min="9" max="9" width="17.8515625" style="106" customWidth="1"/>
    <col min="10" max="10" width="9.140625" style="106" customWidth="1"/>
    <col min="11" max="11" width="24.7109375" style="106" bestFit="1" customWidth="1"/>
    <col min="12" max="13" width="9.140625" style="106" customWidth="1"/>
    <col min="14" max="14" width="4.7109375" style="106" bestFit="1" customWidth="1"/>
    <col min="15" max="16384" width="9.140625" style="106" customWidth="1"/>
  </cols>
  <sheetData>
    <row r="1" spans="1:9" ht="21" thickTop="1">
      <c r="A1" s="689" t="s">
        <v>195</v>
      </c>
      <c r="B1" s="690"/>
      <c r="C1" s="691"/>
      <c r="D1" s="691"/>
      <c r="E1" s="692"/>
      <c r="F1" s="693"/>
      <c r="G1" s="694"/>
      <c r="H1" s="693"/>
      <c r="I1" s="695"/>
    </row>
    <row r="2" spans="1:9" ht="12.75">
      <c r="A2" s="696"/>
      <c r="B2" s="107"/>
      <c r="C2" s="107"/>
      <c r="D2" s="107"/>
      <c r="E2" s="108" t="s">
        <v>175</v>
      </c>
      <c r="F2" s="109"/>
      <c r="G2" s="109">
        <v>39253</v>
      </c>
      <c r="H2" s="109"/>
      <c r="I2" s="697"/>
    </row>
    <row r="3" spans="1:9" ht="12.75">
      <c r="A3" s="696"/>
      <c r="B3" s="107"/>
      <c r="C3" s="107"/>
      <c r="D3" s="107"/>
      <c r="E3" s="108" t="s">
        <v>176</v>
      </c>
      <c r="F3" s="108"/>
      <c r="G3" s="834" t="s">
        <v>645</v>
      </c>
      <c r="H3" s="108"/>
      <c r="I3" s="697"/>
    </row>
    <row r="4" spans="1:9" ht="12.75">
      <c r="A4" s="696"/>
      <c r="B4" s="107"/>
      <c r="C4" s="107"/>
      <c r="D4" s="107"/>
      <c r="E4" s="108"/>
      <c r="F4" s="108"/>
      <c r="G4" s="108"/>
      <c r="H4" s="108"/>
      <c r="I4" s="697"/>
    </row>
    <row r="5" spans="1:9" ht="12.75">
      <c r="A5" s="698"/>
      <c r="B5" s="110"/>
      <c r="C5" s="111"/>
      <c r="D5" s="112"/>
      <c r="E5" s="113" t="s">
        <v>177</v>
      </c>
      <c r="F5" s="114"/>
      <c r="G5" s="114">
        <v>39083</v>
      </c>
      <c r="H5" s="114"/>
      <c r="I5" s="699"/>
    </row>
    <row r="6" spans="1:9" ht="12.75">
      <c r="A6" s="700"/>
      <c r="B6" s="130"/>
      <c r="C6" s="130"/>
      <c r="D6" s="126"/>
      <c r="E6" s="116"/>
      <c r="F6" s="116"/>
      <c r="G6" s="116"/>
      <c r="H6" s="116"/>
      <c r="I6" s="701"/>
    </row>
    <row r="7" spans="1:9" ht="12.75">
      <c r="A7" s="702" t="s">
        <v>178</v>
      </c>
      <c r="B7" s="363"/>
      <c r="C7" s="363"/>
      <c r="D7" s="363"/>
      <c r="E7" s="363"/>
      <c r="F7" s="363"/>
      <c r="G7" s="363"/>
      <c r="H7" s="363"/>
      <c r="I7" s="703"/>
    </row>
    <row r="8" spans="1:9" ht="12.75">
      <c r="A8" s="704" t="s">
        <v>179</v>
      </c>
      <c r="B8" s="364">
        <v>0.02</v>
      </c>
      <c r="C8" s="126" t="s">
        <v>706</v>
      </c>
      <c r="D8" s="126"/>
      <c r="E8" s="126"/>
      <c r="F8" s="126"/>
      <c r="G8" s="119"/>
      <c r="H8" s="126"/>
      <c r="I8" s="705"/>
    </row>
    <row r="9" spans="1:9" ht="12.75">
      <c r="A9" s="706" t="s">
        <v>149</v>
      </c>
      <c r="B9" s="365">
        <v>0.045</v>
      </c>
      <c r="C9" s="116" t="s">
        <v>180</v>
      </c>
      <c r="D9" s="116"/>
      <c r="E9" s="116"/>
      <c r="F9" s="116"/>
      <c r="G9" s="116"/>
      <c r="H9" s="116"/>
      <c r="I9" s="701"/>
    </row>
    <row r="10" spans="1:9" ht="12.75">
      <c r="A10" s="706" t="s">
        <v>181</v>
      </c>
      <c r="B10" s="366">
        <v>0.025</v>
      </c>
      <c r="C10" s="116" t="s">
        <v>180</v>
      </c>
      <c r="D10" s="116"/>
      <c r="E10" s="859" t="s">
        <v>663</v>
      </c>
      <c r="F10" s="130"/>
      <c r="G10" s="862" t="s">
        <v>664</v>
      </c>
      <c r="H10" s="860" t="s">
        <v>667</v>
      </c>
      <c r="I10" s="701"/>
    </row>
    <row r="11" spans="1:9" ht="12.75">
      <c r="A11" s="706" t="s">
        <v>182</v>
      </c>
      <c r="B11" s="366">
        <v>0.025</v>
      </c>
      <c r="C11" s="116" t="s">
        <v>180</v>
      </c>
      <c r="D11" s="116"/>
      <c r="E11" s="127" t="s">
        <v>665</v>
      </c>
      <c r="F11" s="126"/>
      <c r="G11" s="863">
        <v>10129323</v>
      </c>
      <c r="H11" s="866">
        <f>G11*(1+B13)</f>
        <v>12053894.37</v>
      </c>
      <c r="I11" s="701"/>
    </row>
    <row r="12" spans="1:9" ht="12.75">
      <c r="A12" s="706" t="s">
        <v>712</v>
      </c>
      <c r="B12" s="916">
        <v>0.0156</v>
      </c>
      <c r="C12" s="115" t="s">
        <v>705</v>
      </c>
      <c r="D12" s="116"/>
      <c r="E12" s="413" t="s">
        <v>659</v>
      </c>
      <c r="F12" s="116"/>
      <c r="G12" s="381">
        <f>B21*B22</f>
        <v>202500</v>
      </c>
      <c r="H12" s="855">
        <f>G12*(1+B13)</f>
        <v>240975</v>
      </c>
      <c r="I12" s="701"/>
    </row>
    <row r="13" spans="1:9" ht="12.75">
      <c r="A13" s="706" t="s">
        <v>227</v>
      </c>
      <c r="B13" s="367">
        <v>0.19</v>
      </c>
      <c r="C13" s="116"/>
      <c r="D13" s="116"/>
      <c r="E13" s="856" t="s">
        <v>660</v>
      </c>
      <c r="F13" s="116"/>
      <c r="G13" s="381">
        <f>H13/(1+$B$13)</f>
        <v>210084.03361344538</v>
      </c>
      <c r="H13" s="855">
        <v>250000</v>
      </c>
      <c r="I13" s="701"/>
    </row>
    <row r="14" spans="1:9" ht="12.75">
      <c r="A14" s="706" t="s">
        <v>228</v>
      </c>
      <c r="B14" s="367">
        <v>0.06</v>
      </c>
      <c r="C14" s="116"/>
      <c r="D14" s="116"/>
      <c r="E14" s="856" t="s">
        <v>661</v>
      </c>
      <c r="F14" s="116"/>
      <c r="G14" s="381">
        <f>H14/(1+$B$13)</f>
        <v>315126.0504201681</v>
      </c>
      <c r="H14" s="855">
        <v>375000</v>
      </c>
      <c r="I14" s="701"/>
    </row>
    <row r="15" spans="1:9" ht="12.75">
      <c r="A15" s="706" t="s">
        <v>361</v>
      </c>
      <c r="B15" s="365">
        <v>0.045</v>
      </c>
      <c r="C15" s="115" t="s">
        <v>180</v>
      </c>
      <c r="D15" s="116"/>
      <c r="E15" s="857" t="s">
        <v>662</v>
      </c>
      <c r="F15" s="129"/>
      <c r="G15" s="382">
        <f>H15/(1+$B$13)</f>
        <v>84033.61344537816</v>
      </c>
      <c r="H15" s="858">
        <v>100000</v>
      </c>
      <c r="I15" s="701"/>
    </row>
    <row r="16" spans="1:9" ht="12.75">
      <c r="A16" s="706" t="s">
        <v>183</v>
      </c>
      <c r="B16" s="368">
        <v>39234</v>
      </c>
      <c r="C16" s="116"/>
      <c r="D16" s="116"/>
      <c r="E16" s="864" t="s">
        <v>666</v>
      </c>
      <c r="F16" s="865"/>
      <c r="G16" s="861">
        <f>SUM(G11:G15)</f>
        <v>10941066.697478993</v>
      </c>
      <c r="H16" s="867">
        <f>SUM(H11:H15)</f>
        <v>13019869.37</v>
      </c>
      <c r="I16" s="701"/>
    </row>
    <row r="17" spans="1:9" ht="12.75">
      <c r="A17" s="707" t="s">
        <v>184</v>
      </c>
      <c r="B17" s="368">
        <v>39692</v>
      </c>
      <c r="C17" s="116"/>
      <c r="D17" s="116"/>
      <c r="E17" s="116"/>
      <c r="F17" s="116"/>
      <c r="G17" s="116"/>
      <c r="H17" s="116"/>
      <c r="I17" s="701"/>
    </row>
    <row r="18" spans="1:9" ht="12.75">
      <c r="A18" s="707" t="s">
        <v>185</v>
      </c>
      <c r="B18" s="369">
        <v>40</v>
      </c>
      <c r="C18" s="116" t="s">
        <v>186</v>
      </c>
      <c r="D18" s="116"/>
      <c r="E18" s="406" t="s">
        <v>698</v>
      </c>
      <c r="F18" s="116"/>
      <c r="G18" s="116"/>
      <c r="H18" s="116"/>
      <c r="I18" s="701"/>
    </row>
    <row r="19" spans="1:9" ht="12.75">
      <c r="A19" s="707" t="s">
        <v>688</v>
      </c>
      <c r="B19" s="899" t="s">
        <v>689</v>
      </c>
      <c r="C19" s="116" t="s">
        <v>690</v>
      </c>
      <c r="D19" s="116"/>
      <c r="E19" s="115" t="s">
        <v>56</v>
      </c>
      <c r="F19" s="116"/>
      <c r="G19" s="869">
        <f>D48+D49+D50</f>
        <v>0.5150267987656327</v>
      </c>
      <c r="H19" s="116"/>
      <c r="I19" s="701"/>
    </row>
    <row r="20" spans="1:9" ht="12.75">
      <c r="A20" s="706" t="s">
        <v>229</v>
      </c>
      <c r="B20" s="360">
        <v>2300</v>
      </c>
      <c r="C20" s="116" t="s">
        <v>187</v>
      </c>
      <c r="D20" s="116"/>
      <c r="E20" s="115" t="s">
        <v>669</v>
      </c>
      <c r="F20" s="116"/>
      <c r="G20" s="869">
        <f>SUM(D52:D57)</f>
        <v>0.4849732012343675</v>
      </c>
      <c r="H20" s="116"/>
      <c r="I20" s="701"/>
    </row>
    <row r="21" spans="1:9" ht="12.75">
      <c r="A21" s="706" t="s">
        <v>691</v>
      </c>
      <c r="B21" s="360">
        <v>4500</v>
      </c>
      <c r="C21" s="116" t="s">
        <v>187</v>
      </c>
      <c r="D21" s="116"/>
      <c r="E21" s="116"/>
      <c r="F21" s="116"/>
      <c r="G21" s="869">
        <f>SUM(G19:G20)</f>
        <v>1.0000000000000002</v>
      </c>
      <c r="H21" s="116"/>
      <c r="I21" s="701"/>
    </row>
    <row r="22" spans="1:9" ht="14.25">
      <c r="A22" s="706" t="s">
        <v>692</v>
      </c>
      <c r="B22" s="900">
        <v>45</v>
      </c>
      <c r="C22" s="115" t="s">
        <v>693</v>
      </c>
      <c r="D22" s="116"/>
      <c r="H22" s="116"/>
      <c r="I22" s="701"/>
    </row>
    <row r="23" spans="1:9" ht="12.75">
      <c r="A23" s="706" t="s">
        <v>223</v>
      </c>
      <c r="B23" s="361">
        <f>Oppervlaktes!C28</f>
        <v>7773</v>
      </c>
      <c r="C23" s="115" t="s">
        <v>188</v>
      </c>
      <c r="D23" s="116"/>
      <c r="H23" s="116"/>
      <c r="I23" s="701"/>
    </row>
    <row r="24" spans="1:9" ht="12.75">
      <c r="A24" s="707" t="s">
        <v>231</v>
      </c>
      <c r="B24" s="362">
        <f>G16</f>
        <v>10941066.697478993</v>
      </c>
      <c r="C24" s="115" t="s">
        <v>232</v>
      </c>
      <c r="D24" s="116"/>
      <c r="E24" s="116"/>
      <c r="F24" s="116"/>
      <c r="G24" s="116"/>
      <c r="H24" s="116"/>
      <c r="I24" s="701"/>
    </row>
    <row r="25" spans="1:9" ht="12.75">
      <c r="A25" s="708" t="s">
        <v>51</v>
      </c>
      <c r="B25" s="362" t="s">
        <v>357</v>
      </c>
      <c r="C25" s="115"/>
      <c r="D25" s="116"/>
      <c r="E25" s="116"/>
      <c r="F25" s="116"/>
      <c r="G25" s="116"/>
      <c r="H25" s="116"/>
      <c r="I25" s="701"/>
    </row>
    <row r="26" spans="1:9" ht="12.75">
      <c r="A26" s="709"/>
      <c r="B26" s="370"/>
      <c r="C26" s="129"/>
      <c r="D26" s="129"/>
      <c r="E26" s="129"/>
      <c r="F26" s="129"/>
      <c r="G26" s="129"/>
      <c r="H26" s="129"/>
      <c r="I26" s="710"/>
    </row>
    <row r="27" spans="1:20" ht="12.75">
      <c r="A27" s="702" t="s">
        <v>370</v>
      </c>
      <c r="B27" s="363"/>
      <c r="C27" s="363"/>
      <c r="D27" s="363"/>
      <c r="E27" s="363"/>
      <c r="F27" s="363"/>
      <c r="G27" s="363"/>
      <c r="H27" s="363"/>
      <c r="I27" s="711"/>
      <c r="K27" s="406"/>
      <c r="L27" s="115"/>
      <c r="M27" s="115"/>
      <c r="N27" s="115"/>
      <c r="O27" s="115"/>
      <c r="P27" s="115"/>
      <c r="Q27" s="115"/>
      <c r="R27" s="115"/>
      <c r="S27" s="407"/>
      <c r="T27" s="137"/>
    </row>
    <row r="28" spans="1:20" ht="12.75">
      <c r="A28" s="712" t="s">
        <v>189</v>
      </c>
      <c r="B28" s="359"/>
      <c r="C28" s="359"/>
      <c r="D28" s="374" t="s">
        <v>239</v>
      </c>
      <c r="E28" s="374" t="s">
        <v>230</v>
      </c>
      <c r="F28" s="379"/>
      <c r="G28" s="379" t="s">
        <v>225</v>
      </c>
      <c r="H28" s="119"/>
      <c r="I28" s="713" t="s">
        <v>226</v>
      </c>
      <c r="K28" s="406"/>
      <c r="L28" s="115"/>
      <c r="M28" s="115"/>
      <c r="N28" s="408"/>
      <c r="O28" s="408"/>
      <c r="P28" s="406"/>
      <c r="Q28" s="406"/>
      <c r="R28" s="115"/>
      <c r="S28" s="406"/>
      <c r="T28" s="137"/>
    </row>
    <row r="29" spans="1:20" ht="12.75">
      <c r="A29" s="193" t="s">
        <v>233</v>
      </c>
      <c r="B29" s="136"/>
      <c r="C29" s="136"/>
      <c r="D29" s="375">
        <f>Oppervlaktes!D8</f>
        <v>0.105403988164158</v>
      </c>
      <c r="E29" s="377">
        <f>$B$24*D29</f>
        <v>1153232.064684339</v>
      </c>
      <c r="F29" s="136"/>
      <c r="G29" s="381">
        <f>E29*$B$13</f>
        <v>219114.09229002442</v>
      </c>
      <c r="H29" s="122"/>
      <c r="I29" s="714">
        <f>E29+G29</f>
        <v>1372346.1569743636</v>
      </c>
      <c r="K29" s="62"/>
      <c r="L29" s="115"/>
      <c r="M29" s="115"/>
      <c r="N29" s="409"/>
      <c r="O29" s="139"/>
      <c r="P29" s="115"/>
      <c r="Q29" s="410"/>
      <c r="R29" s="115"/>
      <c r="S29" s="139"/>
      <c r="T29" s="137"/>
    </row>
    <row r="30" spans="1:20" ht="12.75">
      <c r="A30" s="193" t="s">
        <v>234</v>
      </c>
      <c r="B30" s="136"/>
      <c r="C30" s="136"/>
      <c r="D30" s="375">
        <f>Oppervlaktes!D9</f>
        <v>0.21363828637591664</v>
      </c>
      <c r="E30" s="377">
        <f aca="true" t="shared" si="0" ref="E30:E42">$B$24*D30</f>
        <v>2337430.7403740217</v>
      </c>
      <c r="F30" s="136"/>
      <c r="G30" s="381">
        <f aca="true" t="shared" si="1" ref="G30:G36">E30*$B$13</f>
        <v>444111.8406710641</v>
      </c>
      <c r="H30" s="122"/>
      <c r="I30" s="714">
        <f aca="true" t="shared" si="2" ref="I30:I42">E30+G30</f>
        <v>2781542.5810450856</v>
      </c>
      <c r="K30" s="62"/>
      <c r="L30" s="115"/>
      <c r="M30" s="115"/>
      <c r="N30" s="409"/>
      <c r="O30" s="139"/>
      <c r="P30" s="115"/>
      <c r="Q30" s="410"/>
      <c r="R30" s="115"/>
      <c r="S30" s="139"/>
      <c r="T30" s="137"/>
    </row>
    <row r="31" spans="1:20" ht="12.75">
      <c r="A31" s="193" t="s">
        <v>235</v>
      </c>
      <c r="B31" s="136"/>
      <c r="C31" s="136"/>
      <c r="D31" s="375">
        <f>Oppervlaktes!D10</f>
        <v>0.08891089669368327</v>
      </c>
      <c r="E31" s="377">
        <f t="shared" si="0"/>
        <v>972780.050858253</v>
      </c>
      <c r="F31" s="136"/>
      <c r="G31" s="381">
        <f t="shared" si="1"/>
        <v>184828.2096630681</v>
      </c>
      <c r="H31" s="122"/>
      <c r="I31" s="714">
        <f t="shared" si="2"/>
        <v>1157608.260521321</v>
      </c>
      <c r="K31" s="62"/>
      <c r="L31" s="115"/>
      <c r="M31" s="115"/>
      <c r="N31" s="409"/>
      <c r="O31" s="139"/>
      <c r="P31" s="115"/>
      <c r="Q31" s="410"/>
      <c r="R31" s="115"/>
      <c r="S31" s="139"/>
      <c r="T31" s="137"/>
    </row>
    <row r="32" spans="1:20" ht="12.75">
      <c r="A32" s="193" t="s">
        <v>237</v>
      </c>
      <c r="B32" s="375">
        <v>0.67</v>
      </c>
      <c r="C32" s="375">
        <v>0.33</v>
      </c>
      <c r="D32" s="375">
        <f>Oppervlaktes!D18</f>
        <v>0</v>
      </c>
      <c r="E32" s="377">
        <f t="shared" si="0"/>
        <v>0</v>
      </c>
      <c r="F32" s="136"/>
      <c r="G32" s="381">
        <f t="shared" si="1"/>
        <v>0</v>
      </c>
      <c r="H32" s="122"/>
      <c r="I32" s="714">
        <f t="shared" si="2"/>
        <v>0</v>
      </c>
      <c r="K32" s="62"/>
      <c r="L32" s="115"/>
      <c r="M32" s="115"/>
      <c r="N32" s="409"/>
      <c r="O32" s="139"/>
      <c r="P32" s="115"/>
      <c r="Q32" s="410"/>
      <c r="R32" s="115"/>
      <c r="S32" s="139"/>
      <c r="T32" s="137"/>
    </row>
    <row r="33" spans="1:20" ht="12.75">
      <c r="A33" s="193" t="s">
        <v>88</v>
      </c>
      <c r="B33" s="810" t="s">
        <v>56</v>
      </c>
      <c r="C33" s="810" t="s">
        <v>75</v>
      </c>
      <c r="D33" s="375">
        <f>Oppervlaktes!D11</f>
        <v>0.11231184870706291</v>
      </c>
      <c r="E33" s="377">
        <f t="shared" si="0"/>
        <v>1228811.427621145</v>
      </c>
      <c r="F33" s="136"/>
      <c r="G33" s="381">
        <f t="shared" si="1"/>
        <v>233474.17124801755</v>
      </c>
      <c r="H33" s="122"/>
      <c r="I33" s="714">
        <f t="shared" si="2"/>
        <v>1462285.5988691626</v>
      </c>
      <c r="K33" s="62"/>
      <c r="L33" s="115"/>
      <c r="M33" s="115"/>
      <c r="N33" s="409"/>
      <c r="O33" s="139"/>
      <c r="P33" s="115"/>
      <c r="Q33" s="410"/>
      <c r="R33" s="115"/>
      <c r="S33" s="139"/>
      <c r="T33" s="137"/>
    </row>
    <row r="34" spans="1:20" ht="12.75">
      <c r="A34" s="193" t="s">
        <v>694</v>
      </c>
      <c r="B34" s="136"/>
      <c r="C34" s="136"/>
      <c r="D34" s="375">
        <f>Oppervlaktes!D13</f>
        <v>0.009005531969638492</v>
      </c>
      <c r="E34" s="377">
        <f t="shared" si="0"/>
        <v>98530.1259260941</v>
      </c>
      <c r="F34" s="136"/>
      <c r="G34" s="381">
        <f t="shared" si="1"/>
        <v>18720.72392595788</v>
      </c>
      <c r="H34" s="122"/>
      <c r="I34" s="714">
        <f t="shared" si="2"/>
        <v>117250.84985205198</v>
      </c>
      <c r="K34" s="62"/>
      <c r="L34" s="115"/>
      <c r="M34" s="115"/>
      <c r="N34" s="409"/>
      <c r="O34" s="139"/>
      <c r="P34" s="115"/>
      <c r="Q34" s="410"/>
      <c r="R34" s="115"/>
      <c r="S34" s="139"/>
      <c r="T34" s="137"/>
    </row>
    <row r="35" spans="1:20" ht="12.75">
      <c r="A35" s="193" t="s">
        <v>72</v>
      </c>
      <c r="B35" s="136"/>
      <c r="C35" s="136"/>
      <c r="D35" s="375">
        <f>Oppervlaktes!D14</f>
        <v>0.024057635404605687</v>
      </c>
      <c r="E35" s="377">
        <f t="shared" si="0"/>
        <v>263216.1935454228</v>
      </c>
      <c r="F35" s="380"/>
      <c r="G35" s="381">
        <f t="shared" si="1"/>
        <v>50011.07677363033</v>
      </c>
      <c r="H35" s="383"/>
      <c r="I35" s="714">
        <f t="shared" si="2"/>
        <v>313227.27031905315</v>
      </c>
      <c r="K35" s="62"/>
      <c r="L35" s="115"/>
      <c r="M35" s="115"/>
      <c r="N35" s="409"/>
      <c r="O35" s="139"/>
      <c r="P35" s="411"/>
      <c r="Q35" s="410"/>
      <c r="R35" s="411"/>
      <c r="S35" s="139"/>
      <c r="T35" s="137"/>
    </row>
    <row r="36" spans="1:20" ht="12.75">
      <c r="A36" s="193" t="s">
        <v>275</v>
      </c>
      <c r="B36" s="136"/>
      <c r="C36" s="136"/>
      <c r="D36" s="375">
        <f>Oppervlaktes!D16</f>
        <v>0.009906085166602343</v>
      </c>
      <c r="E36" s="377">
        <f t="shared" si="0"/>
        <v>108383.13851870353</v>
      </c>
      <c r="F36" s="380"/>
      <c r="G36" s="381">
        <f t="shared" si="1"/>
        <v>20592.796318553672</v>
      </c>
      <c r="H36" s="383"/>
      <c r="I36" s="714">
        <f t="shared" si="2"/>
        <v>128975.9348372572</v>
      </c>
      <c r="K36" s="62"/>
      <c r="L36" s="115"/>
      <c r="M36" s="115"/>
      <c r="N36" s="409"/>
      <c r="O36" s="139"/>
      <c r="P36" s="411"/>
      <c r="Q36" s="410"/>
      <c r="R36" s="411"/>
      <c r="S36" s="139"/>
      <c r="T36" s="137"/>
    </row>
    <row r="37" spans="1:20" ht="12.75">
      <c r="A37" s="193" t="s">
        <v>73</v>
      </c>
      <c r="B37" s="136"/>
      <c r="C37" s="136"/>
      <c r="D37" s="375">
        <f>Oppervlaktes!D15</f>
        <v>0.07333076032419916</v>
      </c>
      <c r="E37" s="377">
        <f t="shared" si="0"/>
        <v>802316.7396839093</v>
      </c>
      <c r="F37" s="136"/>
      <c r="G37" s="381"/>
      <c r="H37" s="122"/>
      <c r="I37" s="714">
        <f t="shared" si="2"/>
        <v>802316.7396839093</v>
      </c>
      <c r="K37" s="62"/>
      <c r="L37" s="115"/>
      <c r="M37" s="115"/>
      <c r="N37" s="409"/>
      <c r="O37" s="139"/>
      <c r="P37" s="115"/>
      <c r="Q37" s="410"/>
      <c r="R37" s="115"/>
      <c r="S37" s="139"/>
      <c r="T37" s="137"/>
    </row>
    <row r="38" spans="1:20" ht="12.75">
      <c r="A38" s="193" t="s">
        <v>238</v>
      </c>
      <c r="B38" s="136"/>
      <c r="C38" s="136"/>
      <c r="D38" s="375">
        <f>Oppervlaktes!D17+Oppervlaktes!D19</f>
        <v>0.1555358291521935</v>
      </c>
      <c r="E38" s="377">
        <f t="shared" si="0"/>
        <v>1701727.8806018466</v>
      </c>
      <c r="F38" s="136"/>
      <c r="G38" s="381"/>
      <c r="H38" s="122"/>
      <c r="I38" s="714">
        <f t="shared" si="2"/>
        <v>1701727.8806018466</v>
      </c>
      <c r="K38" s="62"/>
      <c r="L38" s="115"/>
      <c r="M38" s="115"/>
      <c r="N38" s="409"/>
      <c r="O38" s="139"/>
      <c r="P38" s="115"/>
      <c r="Q38" s="410"/>
      <c r="R38" s="115"/>
      <c r="S38" s="139"/>
      <c r="T38" s="137"/>
    </row>
    <row r="39" spans="1:20" ht="12.75">
      <c r="A39" s="193" t="s">
        <v>236</v>
      </c>
      <c r="B39" s="136"/>
      <c r="C39" s="136"/>
      <c r="D39" s="375">
        <f>Oppervlaktes!D21+Oppervlaktes!D22</f>
        <v>0.13225266949697673</v>
      </c>
      <c r="E39" s="377">
        <f t="shared" si="0"/>
        <v>1446985.277886068</v>
      </c>
      <c r="F39" s="136"/>
      <c r="G39" s="381">
        <f>E39*$B$13</f>
        <v>274927.2027983529</v>
      </c>
      <c r="H39" s="122"/>
      <c r="I39" s="714">
        <f t="shared" si="2"/>
        <v>1721912.480684421</v>
      </c>
      <c r="K39" s="62"/>
      <c r="L39" s="115"/>
      <c r="M39" s="115"/>
      <c r="N39" s="409"/>
      <c r="O39" s="139"/>
      <c r="P39" s="115"/>
      <c r="Q39" s="410"/>
      <c r="R39" s="115"/>
      <c r="S39" s="139"/>
      <c r="T39" s="137"/>
    </row>
    <row r="40" spans="1:20" ht="12.75">
      <c r="A40" s="647" t="s">
        <v>74</v>
      </c>
      <c r="B40" s="136"/>
      <c r="C40" s="136"/>
      <c r="D40" s="375">
        <f>Oppervlaktes!D24</f>
        <v>0.07564646854496333</v>
      </c>
      <c r="E40" s="377">
        <f t="shared" si="0"/>
        <v>827653.0577791905</v>
      </c>
      <c r="F40" s="136"/>
      <c r="G40" s="381"/>
      <c r="H40" s="122"/>
      <c r="I40" s="714">
        <f>E40</f>
        <v>827653.0577791905</v>
      </c>
      <c r="K40" s="62"/>
      <c r="L40" s="115"/>
      <c r="M40" s="115"/>
      <c r="N40" s="409"/>
      <c r="O40" s="139"/>
      <c r="P40" s="115"/>
      <c r="Q40" s="410"/>
      <c r="R40" s="115"/>
      <c r="S40" s="139"/>
      <c r="T40" s="137"/>
    </row>
    <row r="41" spans="1:20" ht="12.75">
      <c r="A41" s="193"/>
      <c r="B41" s="136"/>
      <c r="C41" s="136"/>
      <c r="D41" s="375"/>
      <c r="E41" s="377"/>
      <c r="F41" s="136"/>
      <c r="G41" s="381"/>
      <c r="H41" s="122"/>
      <c r="I41" s="714">
        <f t="shared" si="2"/>
        <v>0</v>
      </c>
      <c r="K41" s="62"/>
      <c r="L41" s="115"/>
      <c r="M41" s="115"/>
      <c r="N41" s="409"/>
      <c r="O41" s="139"/>
      <c r="P41" s="115"/>
      <c r="Q41" s="410"/>
      <c r="R41" s="115"/>
      <c r="S41" s="139"/>
      <c r="T41" s="137"/>
    </row>
    <row r="42" spans="1:20" ht="12.75">
      <c r="A42" s="647" t="s">
        <v>166</v>
      </c>
      <c r="B42" s="136"/>
      <c r="C42" s="136"/>
      <c r="D42" s="375">
        <f>SUM(D29:D41)</f>
        <v>1</v>
      </c>
      <c r="E42" s="377">
        <f t="shared" si="0"/>
        <v>10941066.697478993</v>
      </c>
      <c r="F42" s="136"/>
      <c r="G42" s="381">
        <f>SUM(G29:G41)</f>
        <v>1445780.1136886687</v>
      </c>
      <c r="H42" s="122"/>
      <c r="I42" s="715">
        <f t="shared" si="2"/>
        <v>12386846.811167661</v>
      </c>
      <c r="K42" s="62"/>
      <c r="L42" s="115"/>
      <c r="M42" s="115"/>
      <c r="N42" s="409"/>
      <c r="O42" s="139"/>
      <c r="P42" s="115"/>
      <c r="Q42" s="410"/>
      <c r="R42" s="115"/>
      <c r="S42" s="412"/>
      <c r="T42" s="137"/>
    </row>
    <row r="43" spans="1:20" ht="12.75">
      <c r="A43" s="647"/>
      <c r="B43" s="140"/>
      <c r="C43" s="140"/>
      <c r="D43" s="376"/>
      <c r="E43" s="378"/>
      <c r="F43" s="136"/>
      <c r="G43" s="382"/>
      <c r="H43" s="122"/>
      <c r="I43" s="715"/>
      <c r="K43" s="62"/>
      <c r="L43" s="115"/>
      <c r="M43" s="115"/>
      <c r="N43" s="409"/>
      <c r="O43" s="139"/>
      <c r="P43" s="115"/>
      <c r="Q43" s="410"/>
      <c r="R43" s="115"/>
      <c r="S43" s="412"/>
      <c r="T43" s="137"/>
    </row>
    <row r="44" spans="1:20" ht="13.5" thickBot="1">
      <c r="A44" s="716" t="s">
        <v>255</v>
      </c>
      <c r="B44" s="117"/>
      <c r="C44" s="384"/>
      <c r="D44" s="372"/>
      <c r="E44" s="385">
        <f>E42-E40</f>
        <v>10113413.639699802</v>
      </c>
      <c r="F44" s="384"/>
      <c r="G44" s="373"/>
      <c r="H44" s="384"/>
      <c r="I44" s="717">
        <f>I42-I40</f>
        <v>11559193.75338847</v>
      </c>
      <c r="K44" s="62"/>
      <c r="L44" s="115"/>
      <c r="M44" s="115"/>
      <c r="N44" s="409"/>
      <c r="O44" s="139"/>
      <c r="P44" s="115"/>
      <c r="Q44" s="410"/>
      <c r="R44" s="115"/>
      <c r="S44" s="412"/>
      <c r="T44" s="137"/>
    </row>
    <row r="45" spans="1:9" ht="13.5" thickTop="1">
      <c r="A45" s="700"/>
      <c r="B45" s="126"/>
      <c r="C45" s="126"/>
      <c r="D45" s="126"/>
      <c r="E45" s="126"/>
      <c r="F45" s="126"/>
      <c r="G45" s="126"/>
      <c r="H45" s="126"/>
      <c r="I45" s="718"/>
    </row>
    <row r="46" spans="1:9" ht="12.75">
      <c r="A46" s="702" t="s">
        <v>371</v>
      </c>
      <c r="B46" s="363"/>
      <c r="C46" s="363"/>
      <c r="D46" s="363"/>
      <c r="E46" s="363"/>
      <c r="F46" s="363"/>
      <c r="G46" s="363"/>
      <c r="H46" s="363"/>
      <c r="I46" s="711"/>
    </row>
    <row r="47" spans="1:9" ht="12.75">
      <c r="A47" s="712" t="s">
        <v>189</v>
      </c>
      <c r="B47" s="127"/>
      <c r="C47" s="119"/>
      <c r="D47" s="374" t="s">
        <v>239</v>
      </c>
      <c r="E47" s="374" t="s">
        <v>230</v>
      </c>
      <c r="F47" s="379"/>
      <c r="G47" s="379" t="s">
        <v>225</v>
      </c>
      <c r="H47" s="119"/>
      <c r="I47" s="713" t="s">
        <v>226</v>
      </c>
    </row>
    <row r="48" spans="1:9" ht="12.75">
      <c r="A48" s="193" t="s">
        <v>233</v>
      </c>
      <c r="B48" s="413"/>
      <c r="C48" s="122"/>
      <c r="D48" s="414">
        <f>Oppervlaktes!E8</f>
        <v>0.13306889719019005</v>
      </c>
      <c r="E48" s="377">
        <f>$E$44*D48</f>
        <v>1345780.7998630786</v>
      </c>
      <c r="F48" s="136"/>
      <c r="G48" s="381">
        <f>E48*$B$13</f>
        <v>255698.35197398494</v>
      </c>
      <c r="H48" s="122"/>
      <c r="I48" s="714">
        <f>E48+G48</f>
        <v>1601479.1518370635</v>
      </c>
    </row>
    <row r="49" spans="1:9" ht="12.75">
      <c r="A49" s="193" t="s">
        <v>234</v>
      </c>
      <c r="B49" s="413"/>
      <c r="C49" s="122"/>
      <c r="D49" s="375">
        <f>Oppervlaktes!E9</f>
        <v>0.2697109631313952</v>
      </c>
      <c r="E49" s="377">
        <f aca="true" t="shared" si="3" ref="E49:E57">$E$44*D49</f>
        <v>2727698.5333096227</v>
      </c>
      <c r="F49" s="136"/>
      <c r="G49" s="381">
        <f aca="true" t="shared" si="4" ref="G49:G55">E49*$B$13</f>
        <v>518262.7213288283</v>
      </c>
      <c r="H49" s="122"/>
      <c r="I49" s="714">
        <f aca="true" t="shared" si="5" ref="I49:I58">E49+G49</f>
        <v>3245961.254638451</v>
      </c>
    </row>
    <row r="50" spans="1:9" ht="12.75">
      <c r="A50" s="193" t="s">
        <v>235</v>
      </c>
      <c r="B50" s="413"/>
      <c r="C50" s="122"/>
      <c r="D50" s="375">
        <f>Oppervlaktes!E10</f>
        <v>0.11224693844404744</v>
      </c>
      <c r="E50" s="377">
        <f t="shared" si="3"/>
        <v>1135199.7182745736</v>
      </c>
      <c r="F50" s="136"/>
      <c r="G50" s="381">
        <f t="shared" si="4"/>
        <v>215687.946472169</v>
      </c>
      <c r="H50" s="122"/>
      <c r="I50" s="714">
        <f t="shared" si="5"/>
        <v>1350887.6647467425</v>
      </c>
    </row>
    <row r="51" spans="1:9" ht="12.75">
      <c r="A51" s="193" t="s">
        <v>237</v>
      </c>
      <c r="B51" s="413" t="s">
        <v>447</v>
      </c>
      <c r="C51" s="122"/>
      <c r="D51" s="375">
        <f>Oppervlaktes!E18</f>
        <v>0</v>
      </c>
      <c r="E51" s="377">
        <f t="shared" si="3"/>
        <v>0</v>
      </c>
      <c r="F51" s="136"/>
      <c r="G51" s="381">
        <f t="shared" si="4"/>
        <v>0</v>
      </c>
      <c r="H51" s="122"/>
      <c r="I51" s="714">
        <f t="shared" si="5"/>
        <v>0</v>
      </c>
    </row>
    <row r="52" spans="1:9" ht="12.75">
      <c r="A52" s="193" t="s">
        <v>88</v>
      </c>
      <c r="B52" s="413"/>
      <c r="C52" s="122"/>
      <c r="D52" s="375">
        <f>Oppervlaktes!E11</f>
        <v>0.14178983271073578</v>
      </c>
      <c r="E52" s="377">
        <f t="shared" si="3"/>
        <v>1433979.2281075083</v>
      </c>
      <c r="F52" s="136"/>
      <c r="G52" s="381">
        <f t="shared" si="4"/>
        <v>272456.0533404266</v>
      </c>
      <c r="H52" s="122"/>
      <c r="I52" s="714">
        <f t="shared" si="5"/>
        <v>1706435.281447935</v>
      </c>
    </row>
    <row r="53" spans="1:9" ht="12.75">
      <c r="A53" s="193" t="s">
        <v>694</v>
      </c>
      <c r="B53" s="413"/>
      <c r="C53" s="122"/>
      <c r="D53" s="375">
        <f>Oppervlaktes!E13</f>
        <v>0.011369173298684426</v>
      </c>
      <c r="E53" s="377">
        <f t="shared" si="3"/>
        <v>114981.15231102586</v>
      </c>
      <c r="F53" s="136"/>
      <c r="G53" s="381">
        <f t="shared" si="4"/>
        <v>21846.418939094914</v>
      </c>
      <c r="H53" s="122"/>
      <c r="I53" s="714">
        <f t="shared" si="5"/>
        <v>136827.57125012076</v>
      </c>
    </row>
    <row r="54" spans="1:9" ht="12.75">
      <c r="A54" s="193" t="s">
        <v>72</v>
      </c>
      <c r="B54" s="413"/>
      <c r="C54" s="122"/>
      <c r="D54" s="375">
        <f>Oppervlaktes!E14</f>
        <v>0.030371934383628396</v>
      </c>
      <c r="E54" s="377">
        <f t="shared" si="3"/>
        <v>307163.93545945483</v>
      </c>
      <c r="F54" s="380"/>
      <c r="G54" s="381">
        <f t="shared" si="4"/>
        <v>58361.14773729642</v>
      </c>
      <c r="H54" s="383"/>
      <c r="I54" s="714">
        <f t="shared" si="5"/>
        <v>365525.08319675125</v>
      </c>
    </row>
    <row r="55" spans="1:9" ht="12.75">
      <c r="A55" s="193" t="s">
        <v>275</v>
      </c>
      <c r="B55" s="413"/>
      <c r="C55" s="122"/>
      <c r="D55" s="375">
        <f>Oppervlaktes!E16</f>
        <v>0.01250609062855287</v>
      </c>
      <c r="E55" s="377">
        <f t="shared" si="3"/>
        <v>126479.26754212847</v>
      </c>
      <c r="F55" s="380"/>
      <c r="G55" s="381">
        <f t="shared" si="4"/>
        <v>24031.06083300441</v>
      </c>
      <c r="H55" s="383"/>
      <c r="I55" s="714">
        <f t="shared" si="5"/>
        <v>150510.32837513287</v>
      </c>
    </row>
    <row r="56" spans="1:9" ht="12.75">
      <c r="A56" s="193" t="s">
        <v>73</v>
      </c>
      <c r="B56" s="413"/>
      <c r="C56" s="122"/>
      <c r="D56" s="375">
        <f>Oppervlaktes!E15</f>
        <v>0.09257755400357319</v>
      </c>
      <c r="E56" s="377">
        <f t="shared" si="3"/>
        <v>936275.0973897821</v>
      </c>
      <c r="F56" s="136"/>
      <c r="G56" s="381"/>
      <c r="H56" s="122"/>
      <c r="I56" s="714">
        <f t="shared" si="5"/>
        <v>936275.0973897821</v>
      </c>
    </row>
    <row r="57" spans="1:9" ht="12.75">
      <c r="A57" s="193" t="s">
        <v>238</v>
      </c>
      <c r="B57" s="413"/>
      <c r="C57" s="122"/>
      <c r="D57" s="375">
        <f>Oppervlaktes!E19+Oppervlaktes!E17</f>
        <v>0.19635861620919284</v>
      </c>
      <c r="E57" s="377">
        <f t="shared" si="3"/>
        <v>1985855.9074426296</v>
      </c>
      <c r="F57" s="136"/>
      <c r="G57" s="381"/>
      <c r="H57" s="122"/>
      <c r="I57" s="714">
        <f t="shared" si="5"/>
        <v>1985855.9074426296</v>
      </c>
    </row>
    <row r="58" spans="1:9" ht="12.75">
      <c r="A58" s="193" t="s">
        <v>236</v>
      </c>
      <c r="B58" s="413" t="s">
        <v>380</v>
      </c>
      <c r="C58" s="122"/>
      <c r="D58" s="375">
        <f>Oppervlaktes!D41+Oppervlaktes!D42</f>
        <v>0</v>
      </c>
      <c r="E58" s="377">
        <f>$B$24*D58</f>
        <v>0</v>
      </c>
      <c r="F58" s="136"/>
      <c r="G58" s="381">
        <f>E58*$B$13</f>
        <v>0</v>
      </c>
      <c r="H58" s="122"/>
      <c r="I58" s="714">
        <f t="shared" si="5"/>
        <v>0</v>
      </c>
    </row>
    <row r="59" spans="1:9" ht="12.75">
      <c r="A59" s="647"/>
      <c r="B59" s="128"/>
      <c r="C59" s="124"/>
      <c r="D59" s="376"/>
      <c r="E59" s="378"/>
      <c r="F59" s="136"/>
      <c r="G59" s="382"/>
      <c r="H59" s="122"/>
      <c r="I59" s="715"/>
    </row>
    <row r="60" spans="1:9" ht="13.5" thickBot="1">
      <c r="A60" s="716" t="s">
        <v>255</v>
      </c>
      <c r="B60" s="672"/>
      <c r="C60" s="118"/>
      <c r="D60" s="415">
        <f>SUM(D48:D59)</f>
        <v>1.0000000000000002</v>
      </c>
      <c r="E60" s="385">
        <f>SUM(E48:E59)</f>
        <v>10113413.639699804</v>
      </c>
      <c r="F60" s="384"/>
      <c r="G60" s="373"/>
      <c r="H60" s="384"/>
      <c r="I60" s="719">
        <f>SUM(I48:I59)</f>
        <v>11479757.340324609</v>
      </c>
    </row>
    <row r="61" spans="1:9" ht="13.5" thickTop="1">
      <c r="A61" s="720"/>
      <c r="B61" s="120"/>
      <c r="C61" s="120"/>
      <c r="D61" s="479"/>
      <c r="E61" s="480"/>
      <c r="F61" s="120"/>
      <c r="G61" s="481"/>
      <c r="H61" s="120"/>
      <c r="I61" s="721"/>
    </row>
    <row r="62" spans="1:9" ht="12.75">
      <c r="A62" s="702" t="s">
        <v>415</v>
      </c>
      <c r="B62" s="363"/>
      <c r="C62" s="363"/>
      <c r="D62" s="363"/>
      <c r="E62" s="363"/>
      <c r="F62" s="363"/>
      <c r="G62" s="363"/>
      <c r="H62" s="363"/>
      <c r="I62" s="703"/>
    </row>
    <row r="63" spans="1:9" ht="12.75">
      <c r="A63" s="700" t="s">
        <v>190</v>
      </c>
      <c r="B63" s="131">
        <v>0</v>
      </c>
      <c r="C63" s="126"/>
      <c r="D63" s="126"/>
      <c r="E63" s="126"/>
      <c r="F63" s="126"/>
      <c r="G63" s="126"/>
      <c r="H63" s="126"/>
      <c r="I63" s="722">
        <f>B63/1.19</f>
        <v>0</v>
      </c>
    </row>
    <row r="64" spans="1:9" ht="12.75">
      <c r="A64" s="723" t="s">
        <v>668</v>
      </c>
      <c r="B64" s="335" t="s">
        <v>192</v>
      </c>
      <c r="C64" s="129"/>
      <c r="D64" s="129"/>
      <c r="E64" s="336"/>
      <c r="F64" s="129"/>
      <c r="G64" s="129"/>
      <c r="H64" s="129"/>
      <c r="I64" s="868">
        <f>G12</f>
        <v>202500</v>
      </c>
    </row>
    <row r="65" spans="1:9" ht="12.75">
      <c r="A65" s="724"/>
      <c r="B65" s="130"/>
      <c r="C65" s="130"/>
      <c r="D65" s="130"/>
      <c r="E65" s="130"/>
      <c r="F65" s="130"/>
      <c r="G65" s="130"/>
      <c r="H65" s="130"/>
      <c r="I65" s="725">
        <f>SUM(I63:I64)</f>
        <v>202500</v>
      </c>
    </row>
    <row r="66" spans="1:9" ht="12.75">
      <c r="A66" s="723"/>
      <c r="B66" s="129"/>
      <c r="C66" s="129"/>
      <c r="D66" s="129"/>
      <c r="E66" s="129"/>
      <c r="F66" s="129"/>
      <c r="G66" s="129"/>
      <c r="H66" s="129"/>
      <c r="I66" s="710"/>
    </row>
    <row r="67" spans="1:9" ht="12.75">
      <c r="A67" s="702" t="s">
        <v>416</v>
      </c>
      <c r="B67" s="363"/>
      <c r="C67" s="363"/>
      <c r="D67" s="363"/>
      <c r="E67" s="363"/>
      <c r="F67" s="371"/>
      <c r="G67" s="371"/>
      <c r="H67" s="371"/>
      <c r="I67" s="703"/>
    </row>
    <row r="68" spans="1:9" ht="12.75">
      <c r="A68" s="726" t="s">
        <v>363</v>
      </c>
      <c r="B68" s="126"/>
      <c r="C68" s="119"/>
      <c r="D68" s="359"/>
      <c r="E68" s="379" t="s">
        <v>230</v>
      </c>
      <c r="F68" s="390"/>
      <c r="G68" s="393" t="s">
        <v>225</v>
      </c>
      <c r="H68" s="390"/>
      <c r="I68" s="713" t="s">
        <v>226</v>
      </c>
    </row>
    <row r="69" spans="1:9" ht="12.75">
      <c r="A69" s="352" t="s">
        <v>245</v>
      </c>
      <c r="B69" s="116"/>
      <c r="C69" s="122"/>
      <c r="D69" s="136"/>
      <c r="E69" s="386"/>
      <c r="F69" s="391"/>
      <c r="G69" s="138"/>
      <c r="H69" s="138"/>
      <c r="I69" s="727"/>
    </row>
    <row r="70" spans="1:9" ht="12.75">
      <c r="A70" s="728" t="s">
        <v>333</v>
      </c>
      <c r="B70" s="116"/>
      <c r="C70" s="122"/>
      <c r="D70" s="136"/>
      <c r="E70" s="386">
        <f>I70</f>
        <v>298783.63472484483</v>
      </c>
      <c r="F70" s="391"/>
      <c r="G70" s="825" t="s">
        <v>643</v>
      </c>
      <c r="H70" s="138"/>
      <c r="I70" s="727">
        <f>1!E93</f>
        <v>298783.63472484483</v>
      </c>
    </row>
    <row r="71" spans="1:9" ht="12.75">
      <c r="A71" s="728" t="s">
        <v>332</v>
      </c>
      <c r="B71" s="116"/>
      <c r="C71" s="122"/>
      <c r="D71" s="136"/>
      <c r="E71" s="387">
        <f>2!C40</f>
        <v>75698.29489144273</v>
      </c>
      <c r="F71" s="391"/>
      <c r="G71" s="394">
        <f>E71*B13</f>
        <v>14382.676029374117</v>
      </c>
      <c r="H71" s="138"/>
      <c r="I71" s="729">
        <f>E71+G71</f>
        <v>90080.97092081685</v>
      </c>
    </row>
    <row r="72" spans="1:10" ht="12.75">
      <c r="A72" s="730" t="s">
        <v>616</v>
      </c>
      <c r="B72" s="116"/>
      <c r="C72" s="122"/>
      <c r="D72" s="136"/>
      <c r="E72" s="386"/>
      <c r="F72" s="391"/>
      <c r="G72" s="826" t="s">
        <v>643</v>
      </c>
      <c r="H72" s="138"/>
      <c r="I72" s="727">
        <f>3!E37</f>
        <v>25921.110667151133</v>
      </c>
      <c r="J72" s="221"/>
    </row>
    <row r="73" spans="1:10" ht="12.75">
      <c r="A73" s="731"/>
      <c r="B73" s="682" t="s">
        <v>262</v>
      </c>
      <c r="C73" s="683"/>
      <c r="D73" s="684"/>
      <c r="E73" s="685"/>
      <c r="F73" s="686"/>
      <c r="G73" s="827" t="s">
        <v>643</v>
      </c>
      <c r="H73" s="684"/>
      <c r="I73" s="732">
        <f>3!E24</f>
        <v>13041.004338608756</v>
      </c>
      <c r="J73" s="221"/>
    </row>
    <row r="74" spans="1:10" ht="12.75">
      <c r="A74" s="733" t="s">
        <v>615</v>
      </c>
      <c r="B74" s="682" t="s">
        <v>262</v>
      </c>
      <c r="C74" s="683"/>
      <c r="D74" s="684"/>
      <c r="E74" s="685"/>
      <c r="F74" s="686"/>
      <c r="G74" s="827" t="s">
        <v>643</v>
      </c>
      <c r="H74" s="684"/>
      <c r="I74" s="732">
        <f>3A!B11</f>
        <v>1046.47</v>
      </c>
      <c r="J74" s="221"/>
    </row>
    <row r="75" spans="1:9" ht="12.75">
      <c r="A75" s="733" t="s">
        <v>331</v>
      </c>
      <c r="B75" s="682" t="s">
        <v>262</v>
      </c>
      <c r="C75" s="683"/>
      <c r="D75" s="684"/>
      <c r="E75" s="685"/>
      <c r="F75" s="684"/>
      <c r="G75" s="828" t="s">
        <v>643</v>
      </c>
      <c r="H75" s="684"/>
      <c r="I75" s="732">
        <f>4!D20+4!D25</f>
        <v>14721.391729364917</v>
      </c>
    </row>
    <row r="76" spans="1:9" ht="12.75">
      <c r="A76" s="733" t="s">
        <v>330</v>
      </c>
      <c r="B76" s="682" t="s">
        <v>262</v>
      </c>
      <c r="C76" s="683"/>
      <c r="D76" s="684"/>
      <c r="E76" s="687">
        <f>5!C60</f>
        <v>213463.8091138895</v>
      </c>
      <c r="F76" s="684"/>
      <c r="G76" s="688">
        <f>E76*$B$13</f>
        <v>40558.123731639</v>
      </c>
      <c r="H76" s="684"/>
      <c r="I76" s="732">
        <f>E76+G76</f>
        <v>254021.9328455285</v>
      </c>
    </row>
    <row r="77" spans="1:9" ht="12.75">
      <c r="A77" s="728" t="s">
        <v>399</v>
      </c>
      <c r="B77" s="116"/>
      <c r="C77" s="122"/>
      <c r="D77" s="136"/>
      <c r="E77" s="386">
        <f>6!D24</f>
        <v>116360.98473698266</v>
      </c>
      <c r="F77" s="138"/>
      <c r="G77" s="381">
        <f aca="true" t="shared" si="6" ref="G77:G85">E77*$B$13</f>
        <v>22108.587100026707</v>
      </c>
      <c r="H77" s="136"/>
      <c r="I77" s="727">
        <f aca="true" t="shared" si="7" ref="I77:I85">E77+G77</f>
        <v>138469.57183700937</v>
      </c>
    </row>
    <row r="78" spans="1:9" ht="12.75">
      <c r="A78" s="728" t="s">
        <v>400</v>
      </c>
      <c r="B78" s="116"/>
      <c r="C78" s="122"/>
      <c r="D78" s="136"/>
      <c r="E78" s="386">
        <f>7!D8</f>
        <v>7730.316000000001</v>
      </c>
      <c r="F78" s="138"/>
      <c r="G78" s="381">
        <f t="shared" si="6"/>
        <v>1468.7600400000001</v>
      </c>
      <c r="H78" s="136"/>
      <c r="I78" s="727">
        <f t="shared" si="7"/>
        <v>9199.07604</v>
      </c>
    </row>
    <row r="79" spans="1:9" ht="12.75">
      <c r="A79" s="728" t="s">
        <v>401</v>
      </c>
      <c r="B79" s="116"/>
      <c r="C79" s="122"/>
      <c r="D79" s="136"/>
      <c r="E79" s="386">
        <f>8!D48</f>
        <v>5444.799999999999</v>
      </c>
      <c r="F79" s="138"/>
      <c r="G79" s="381">
        <f t="shared" si="6"/>
        <v>1034.512</v>
      </c>
      <c r="H79" s="136"/>
      <c r="I79" s="727">
        <f t="shared" si="7"/>
        <v>6479.311999999999</v>
      </c>
    </row>
    <row r="80" spans="1:9" ht="12.75">
      <c r="A80" s="728" t="s">
        <v>402</v>
      </c>
      <c r="B80" s="115"/>
      <c r="C80" s="123"/>
      <c r="D80" s="138"/>
      <c r="E80" s="386">
        <f>9!B11</f>
        <v>6590.091499309134</v>
      </c>
      <c r="F80" s="138"/>
      <c r="G80" s="381">
        <f t="shared" si="6"/>
        <v>1252.1173848687354</v>
      </c>
      <c r="H80" s="138"/>
      <c r="I80" s="727">
        <f t="shared" si="7"/>
        <v>7842.20888417787</v>
      </c>
    </row>
    <row r="81" spans="1:9" ht="12.75">
      <c r="A81" s="730" t="s">
        <v>403</v>
      </c>
      <c r="B81" s="116"/>
      <c r="C81" s="122"/>
      <c r="D81" s="136"/>
      <c r="E81" s="386">
        <f>'10'!B11</f>
        <v>10737.614374136418</v>
      </c>
      <c r="F81" s="392"/>
      <c r="G81" s="381">
        <f t="shared" si="6"/>
        <v>2040.1467310859193</v>
      </c>
      <c r="H81" s="136"/>
      <c r="I81" s="727">
        <f t="shared" si="7"/>
        <v>12777.761105222336</v>
      </c>
    </row>
    <row r="82" spans="1:9" ht="12.75">
      <c r="A82" s="728" t="s">
        <v>404</v>
      </c>
      <c r="B82" s="116"/>
      <c r="C82" s="122"/>
      <c r="D82" s="136"/>
      <c r="E82" s="388">
        <f>'11'!B10</f>
        <v>22703.1137728229</v>
      </c>
      <c r="F82" s="138"/>
      <c r="G82" s="381">
        <f t="shared" si="6"/>
        <v>4313.591616836351</v>
      </c>
      <c r="H82" s="136"/>
      <c r="I82" s="727">
        <f t="shared" si="7"/>
        <v>27016.70538965925</v>
      </c>
    </row>
    <row r="83" spans="1:9" ht="12.75">
      <c r="A83" s="728" t="s">
        <v>617</v>
      </c>
      <c r="B83" s="116"/>
      <c r="C83" s="122"/>
      <c r="D83" s="136"/>
      <c r="E83" s="388"/>
      <c r="F83" s="138"/>
      <c r="G83" s="829"/>
      <c r="H83" s="136"/>
      <c r="I83" s="727"/>
    </row>
    <row r="84" spans="1:9" ht="12.75">
      <c r="A84" s="728" t="s">
        <v>405</v>
      </c>
      <c r="B84" s="116"/>
      <c r="C84" s="122"/>
      <c r="D84" s="136"/>
      <c r="E84" s="389">
        <f>'12'!B9</f>
        <v>3506.042</v>
      </c>
      <c r="F84" s="136"/>
      <c r="G84" s="381">
        <f t="shared" si="6"/>
        <v>666.14798</v>
      </c>
      <c r="H84" s="136"/>
      <c r="I84" s="727">
        <f t="shared" si="7"/>
        <v>4172.18998</v>
      </c>
    </row>
    <row r="85" spans="1:9" ht="12.75">
      <c r="A85" s="731" t="s">
        <v>360</v>
      </c>
      <c r="B85" s="682" t="s">
        <v>262</v>
      </c>
      <c r="C85" s="683"/>
      <c r="D85" s="684"/>
      <c r="E85" s="823">
        <f>Huurinkomsten!D19*$B$8</f>
        <v>3537.049198958969</v>
      </c>
      <c r="F85" s="683"/>
      <c r="G85" s="824">
        <f t="shared" si="6"/>
        <v>672.0393478022041</v>
      </c>
      <c r="H85" s="684"/>
      <c r="I85" s="732">
        <f t="shared" si="7"/>
        <v>4209.088546761173</v>
      </c>
    </row>
    <row r="86" spans="1:9" ht="12.75">
      <c r="A86" s="676" t="s">
        <v>621</v>
      </c>
      <c r="B86" s="677" t="s">
        <v>622</v>
      </c>
      <c r="C86" s="678"/>
      <c r="D86" s="135"/>
      <c r="E86" s="675">
        <f>E70+E71+E72+E77+E78+E79+E80+E81+E82+E84</f>
        <v>547554.8919995388</v>
      </c>
      <c r="F86" s="135"/>
      <c r="G86" s="135"/>
      <c r="H86" s="135"/>
      <c r="I86" s="734">
        <f>I70+I71+I72+I77+I78+I79+I80+I81+I82+I84</f>
        <v>620742.5415488816</v>
      </c>
    </row>
    <row r="87" spans="1:9" ht="12.75">
      <c r="A87" s="679"/>
      <c r="B87" s="680" t="s">
        <v>383</v>
      </c>
      <c r="C87" s="678"/>
      <c r="D87" s="135"/>
      <c r="E87" s="675">
        <f>E73+E74+E75+E76+E85</f>
        <v>217000.85831284846</v>
      </c>
      <c r="F87" s="135"/>
      <c r="G87" s="135"/>
      <c r="H87" s="135"/>
      <c r="I87" s="734">
        <f>I73+I74+I75+I76+I85</f>
        <v>287039.8874602634</v>
      </c>
    </row>
    <row r="88" spans="1:9" ht="13.5" thickBot="1">
      <c r="A88" s="735" t="s">
        <v>364</v>
      </c>
      <c r="B88" s="117"/>
      <c r="C88" s="118"/>
      <c r="D88" s="384"/>
      <c r="E88" s="681">
        <f>SUM(E86:E87)</f>
        <v>764555.7503123872</v>
      </c>
      <c r="F88" s="384"/>
      <c r="G88" s="384"/>
      <c r="H88" s="384"/>
      <c r="I88" s="736">
        <f>SUM(I70:I86)</f>
        <v>1528524.9705580268</v>
      </c>
    </row>
    <row r="89" spans="1:10" ht="13.5" thickTop="1">
      <c r="A89" s="723"/>
      <c r="B89" s="129"/>
      <c r="C89" s="129"/>
      <c r="D89" s="129"/>
      <c r="E89" s="129"/>
      <c r="F89" s="129"/>
      <c r="G89" s="129"/>
      <c r="H89" s="129"/>
      <c r="I89" s="737"/>
      <c r="J89" s="116"/>
    </row>
    <row r="90" spans="1:9" ht="12.75">
      <c r="A90" s="700"/>
      <c r="B90" s="130"/>
      <c r="C90" s="130"/>
      <c r="D90" s="130"/>
      <c r="E90" s="130"/>
      <c r="F90" s="130"/>
      <c r="G90" s="130"/>
      <c r="H90" s="130"/>
      <c r="I90" s="738"/>
    </row>
    <row r="91" spans="1:9" ht="12.75">
      <c r="A91" s="702" t="s">
        <v>193</v>
      </c>
      <c r="B91" s="334"/>
      <c r="C91" s="334"/>
      <c r="D91" s="334"/>
      <c r="E91" s="334"/>
      <c r="F91" s="334"/>
      <c r="G91" s="334"/>
      <c r="H91" s="334"/>
      <c r="I91" s="739"/>
    </row>
    <row r="92" spans="1:9" ht="12.75">
      <c r="A92" s="740"/>
      <c r="B92" s="132"/>
      <c r="C92" s="120"/>
      <c r="D92" s="121"/>
      <c r="E92" s="379" t="s">
        <v>230</v>
      </c>
      <c r="F92" s="390"/>
      <c r="G92" s="393" t="s">
        <v>641</v>
      </c>
      <c r="H92" s="399"/>
      <c r="I92" s="713" t="s">
        <v>226</v>
      </c>
    </row>
    <row r="93" spans="1:9" ht="12.75">
      <c r="A93" s="708" t="s">
        <v>334</v>
      </c>
      <c r="B93" s="209"/>
      <c r="C93" s="115"/>
      <c r="D93" s="123"/>
      <c r="E93" s="832">
        <f>I93/(1+$B$13)</f>
        <v>34674.78991596639</v>
      </c>
      <c r="F93" s="396"/>
      <c r="G93" s="833">
        <f>I93-E93</f>
        <v>6588.210084033613</v>
      </c>
      <c r="H93" s="400"/>
      <c r="I93" s="741">
        <f>'14'!D31</f>
        <v>41263</v>
      </c>
    </row>
    <row r="94" spans="1:9" ht="12.75">
      <c r="A94" s="708" t="s">
        <v>335</v>
      </c>
      <c r="B94" s="209"/>
      <c r="C94" s="115"/>
      <c r="D94" s="123"/>
      <c r="E94" s="832">
        <f>I94/(1+$B$13)</f>
        <v>59831.93277310925</v>
      </c>
      <c r="F94" s="396"/>
      <c r="G94" s="833">
        <f>I94-E94</f>
        <v>11368.067226890751</v>
      </c>
      <c r="H94" s="400"/>
      <c r="I94" s="741">
        <f>'15'!D30</f>
        <v>71200</v>
      </c>
    </row>
    <row r="95" spans="1:9" ht="12.75">
      <c r="A95" s="708" t="s">
        <v>336</v>
      </c>
      <c r="B95" s="209"/>
      <c r="C95" s="115"/>
      <c r="D95" s="123"/>
      <c r="E95" s="832">
        <f>I95/(1+$B$13)</f>
        <v>30482.352941176472</v>
      </c>
      <c r="F95" s="396"/>
      <c r="G95" s="833">
        <f>I95-E95</f>
        <v>5791.647058823528</v>
      </c>
      <c r="H95" s="400"/>
      <c r="I95" s="741">
        <f>'16'!D30</f>
        <v>36274</v>
      </c>
    </row>
    <row r="96" spans="1:9" ht="12.75">
      <c r="A96" s="708" t="s">
        <v>337</v>
      </c>
      <c r="B96" s="134"/>
      <c r="C96" s="115"/>
      <c r="D96" s="123"/>
      <c r="E96" s="386"/>
      <c r="F96" s="138"/>
      <c r="G96" s="830" t="s">
        <v>643</v>
      </c>
      <c r="H96" s="123"/>
      <c r="I96" s="742">
        <f>'17'!H58</f>
        <v>94611.63</v>
      </c>
    </row>
    <row r="97" spans="1:9" ht="12.75">
      <c r="A97" s="708" t="s">
        <v>338</v>
      </c>
      <c r="B97" s="134"/>
      <c r="C97" s="115"/>
      <c r="D97" s="123"/>
      <c r="E97" s="386"/>
      <c r="F97" s="138"/>
      <c r="G97" s="830" t="s">
        <v>643</v>
      </c>
      <c r="H97" s="123"/>
      <c r="I97" s="742">
        <f>'18'!B18</f>
        <v>30006.989273620657</v>
      </c>
    </row>
    <row r="98" spans="1:9" ht="12.75">
      <c r="A98" s="708" t="s">
        <v>339</v>
      </c>
      <c r="B98" s="214"/>
      <c r="C98" s="115"/>
      <c r="D98" s="123"/>
      <c r="E98" s="386">
        <f>Huurinkomsten!D19</f>
        <v>176852.45994794846</v>
      </c>
      <c r="F98" s="138"/>
      <c r="G98" s="381">
        <f>E98*$B$13</f>
        <v>33601.96739011021</v>
      </c>
      <c r="H98" s="123"/>
      <c r="I98" s="742">
        <f>E98+G98</f>
        <v>210454.42733805865</v>
      </c>
    </row>
    <row r="99" spans="1:9" ht="12.75">
      <c r="A99" s="708" t="s">
        <v>340</v>
      </c>
      <c r="B99" s="134"/>
      <c r="C99" s="115"/>
      <c r="D99" s="123"/>
      <c r="E99" s="386">
        <f>Servicekosten!L16</f>
        <v>567766.0311984067</v>
      </c>
      <c r="F99" s="138"/>
      <c r="G99" s="381">
        <f>E99*$B$13</f>
        <v>107875.54592769727</v>
      </c>
      <c r="H99" s="123"/>
      <c r="I99" s="742">
        <f>E99+G99</f>
        <v>675641.5771261039</v>
      </c>
    </row>
    <row r="100" spans="1:9" ht="12.75">
      <c r="A100" s="708" t="s">
        <v>358</v>
      </c>
      <c r="B100" s="357"/>
      <c r="C100" s="115"/>
      <c r="D100" s="123"/>
      <c r="E100" s="386"/>
      <c r="F100" s="138"/>
      <c r="G100" s="397"/>
      <c r="H100" s="123"/>
      <c r="I100" s="742"/>
    </row>
    <row r="101" spans="1:9" ht="12.75">
      <c r="A101" s="743"/>
      <c r="B101" s="357"/>
      <c r="C101" s="115"/>
      <c r="D101" s="125"/>
      <c r="E101" s="395"/>
      <c r="F101" s="370"/>
      <c r="G101" s="398"/>
      <c r="H101" s="123"/>
      <c r="I101" s="742"/>
    </row>
    <row r="102" spans="1:9" ht="13.5" thickBot="1">
      <c r="A102" s="744" t="s">
        <v>362</v>
      </c>
      <c r="B102" s="403"/>
      <c r="C102" s="117"/>
      <c r="D102" s="117"/>
      <c r="E102" s="402"/>
      <c r="F102" s="384"/>
      <c r="G102" s="401"/>
      <c r="H102" s="384"/>
      <c r="I102" s="745">
        <f>SUM(I93:I101)</f>
        <v>1159451.6237377832</v>
      </c>
    </row>
    <row r="103" spans="1:9" ht="14.25" thickBot="1" thickTop="1">
      <c r="A103" s="746"/>
      <c r="B103" s="747"/>
      <c r="C103" s="748"/>
      <c r="D103" s="748"/>
      <c r="E103" s="747"/>
      <c r="F103" s="748"/>
      <c r="G103" s="749"/>
      <c r="H103" s="748"/>
      <c r="I103" s="750"/>
    </row>
    <row r="104" spans="1:9" ht="13.5" thickTop="1">
      <c r="A104" s="753"/>
      <c r="B104" s="134"/>
      <c r="C104" s="115"/>
      <c r="D104" s="115"/>
      <c r="E104" s="134"/>
      <c r="F104" s="115"/>
      <c r="G104" s="133"/>
      <c r="H104" s="115"/>
      <c r="I104" s="751"/>
    </row>
    <row r="105" spans="1:9" ht="12.75">
      <c r="A105" s="115"/>
      <c r="B105" s="115"/>
      <c r="C105" s="115"/>
      <c r="D105" s="115"/>
      <c r="E105" s="133"/>
      <c r="F105" s="115"/>
      <c r="G105" s="133"/>
      <c r="H105" s="115"/>
      <c r="I105" s="752"/>
    </row>
    <row r="106" spans="1:9" ht="12.75">
      <c r="A106" s="116"/>
      <c r="B106" s="116"/>
      <c r="C106" s="116"/>
      <c r="D106" s="116"/>
      <c r="E106" s="116"/>
      <c r="F106" s="116"/>
      <c r="G106" s="116"/>
      <c r="H106" s="116"/>
      <c r="I106" s="116"/>
    </row>
  </sheetData>
  <sheetProtection/>
  <hyperlinks>
    <hyperlink ref="A79" location="'8'!A1" display="8.   Terreinonderhoud"/>
    <hyperlink ref="A70" location="'1'!A1" display="1.   Beheer"/>
    <hyperlink ref="A71" location="'2'!A1" display="2.   Nutsvoorzieningen"/>
    <hyperlink ref="A72" location="'3'!A1" display="3.   Belastingen en heffingen (inclusief Overige Publiekrechtelijke heffingen) "/>
    <hyperlink ref="A75" location="'4'!A1" display="4.   Verzekeringen"/>
    <hyperlink ref="A76" location="'5'!A1" display="5.   Klachten- en Meerjarenonderhoud"/>
    <hyperlink ref="A77" location="'6'!A1" display="6.   Schoonmaak"/>
    <hyperlink ref="A78" location="'7'!A1" display="7.   Afvalverwerking"/>
    <hyperlink ref="A80" location="'9'!A1" display="9. Telecommunicatie"/>
    <hyperlink ref="A81" location="'10'!A1" display="10. Automatisering"/>
    <hyperlink ref="A82" location="'11'!A1" display="11. Onderhoud/ververvanging Inventaris"/>
    <hyperlink ref="A96" location="'17'!A1" display="17. Verhuur Zaalruimten"/>
    <hyperlink ref="A97" location="'18'!A1" display="18. Horecaopbrengsten"/>
    <hyperlink ref="A98" location="Huurinkomsten!A1" display="19. Huurinkomsten"/>
    <hyperlink ref="A99" location="Servicekosten!A1" display="20. Servicekosten"/>
    <hyperlink ref="A100" location="'21'!A1" display="21. Verhuurprijzen Scholen"/>
    <hyperlink ref="A84" location="'12'!A1" display="12. Marketing en Promotie"/>
    <hyperlink ref="A25" location="Oppervlaktes!A1" display="Oppervlaktes"/>
    <hyperlink ref="A93" location="'14'!A1" display="14. Rijksvergoeding Pestalozzi"/>
    <hyperlink ref="A94" location="'15'!A1" display="15. Rijksvergoeding Het Kompas"/>
    <hyperlink ref="A95" location="'16'!A1" display="16. Rijksvergoeding Sebastiaans."/>
    <hyperlink ref="A74" location="'3A'!A1" display="3A. Overige Publiekrechtelijke heffingen"/>
    <hyperlink ref="A83" location="'11A'!A1" display="11A. Inventaris"/>
  </hyperlinks>
  <printOptions/>
  <pageMargins left="0.69" right="0.23" top="0.42" bottom="0.38" header="0.87" footer="0.22"/>
  <pageSetup fitToHeight="1" fitToWidth="1" horizontalDpi="600" verticalDpi="600" orientation="portrait" paperSize="9" scale="59" r:id="rId2"/>
  <headerFooter alignWithMargins="0">
    <oddFooter>&amp;LConceptversie - 20 juni 2007 (Alleen te gebruiken voor interne doeleinden)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H47"/>
  <sheetViews>
    <sheetView zoomScalePageLayoutView="0" workbookViewId="0" topLeftCell="A10">
      <selection activeCell="C53" sqref="C53"/>
    </sheetView>
  </sheetViews>
  <sheetFormatPr defaultColWidth="9.140625" defaultRowHeight="12.75"/>
  <cols>
    <col min="1" max="1" width="27.7109375" style="0" customWidth="1"/>
    <col min="2" max="2" width="14.421875" style="0" customWidth="1"/>
    <col min="3" max="3" width="18.28125" style="0" customWidth="1"/>
    <col min="4" max="4" width="17.140625" style="0" customWidth="1"/>
    <col min="5" max="5" width="20.140625" style="0" customWidth="1"/>
    <col min="6" max="6" width="18.140625" style="0" customWidth="1"/>
    <col min="7" max="7" width="8.7109375" style="0" customWidth="1"/>
    <col min="8" max="8" width="11.57421875" style="0" customWidth="1"/>
  </cols>
  <sheetData>
    <row r="1" spans="1:8" ht="21" thickTop="1">
      <c r="A1" s="4" t="s">
        <v>258</v>
      </c>
      <c r="B1" s="61"/>
      <c r="G1" s="622" t="s">
        <v>84</v>
      </c>
      <c r="H1" s="920"/>
    </row>
    <row r="2" spans="7:8" ht="13.5" thickBot="1">
      <c r="G2" s="624" t="s">
        <v>355</v>
      </c>
      <c r="H2" s="462"/>
    </row>
    <row r="3" spans="7:8" ht="14.25" thickBot="1" thickTop="1">
      <c r="G3" s="7"/>
      <c r="H3" s="7"/>
    </row>
    <row r="4" spans="1:8" ht="14.25" thickBot="1" thickTop="1">
      <c r="A4" s="265" t="s">
        <v>17</v>
      </c>
      <c r="B4" s="275"/>
      <c r="C4" s="275"/>
      <c r="D4" s="275"/>
      <c r="E4" s="275"/>
      <c r="F4" s="275"/>
      <c r="G4" s="358"/>
      <c r="H4" s="31"/>
    </row>
    <row r="5" spans="1:8" ht="13.5" thickTop="1">
      <c r="A5" s="442" t="s">
        <v>164</v>
      </c>
      <c r="B5" s="15" t="s">
        <v>261</v>
      </c>
      <c r="C5" s="216">
        <v>4.24</v>
      </c>
      <c r="D5" s="444" t="s">
        <v>260</v>
      </c>
      <c r="E5" s="82">
        <v>2500</v>
      </c>
      <c r="F5" s="15" t="s">
        <v>165</v>
      </c>
      <c r="H5" s="27"/>
    </row>
    <row r="6" spans="1:8" ht="12.75">
      <c r="A6" s="18"/>
      <c r="B6" s="19" t="s">
        <v>262</v>
      </c>
      <c r="C6" s="85">
        <v>2.37</v>
      </c>
      <c r="D6" s="445" t="s">
        <v>260</v>
      </c>
      <c r="E6" s="83">
        <v>2500</v>
      </c>
      <c r="F6" s="19" t="s">
        <v>165</v>
      </c>
      <c r="H6" s="27"/>
    </row>
    <row r="7" spans="1:8" ht="12.75">
      <c r="A7" s="75" t="s">
        <v>368</v>
      </c>
      <c r="B7" s="19" t="s">
        <v>261</v>
      </c>
      <c r="C7" s="85">
        <v>1.29</v>
      </c>
      <c r="D7" s="445" t="s">
        <v>260</v>
      </c>
      <c r="E7" s="83">
        <v>2500</v>
      </c>
      <c r="F7" s="19" t="s">
        <v>165</v>
      </c>
      <c r="H7" s="27"/>
    </row>
    <row r="8" spans="1:8" ht="12.75">
      <c r="A8" s="18" t="s">
        <v>142</v>
      </c>
      <c r="B8" s="19" t="s">
        <v>262</v>
      </c>
      <c r="C8" s="85">
        <v>0.47</v>
      </c>
      <c r="D8" s="445" t="s">
        <v>260</v>
      </c>
      <c r="E8" s="83">
        <v>2500</v>
      </c>
      <c r="F8" s="19" t="s">
        <v>165</v>
      </c>
      <c r="H8" s="27"/>
    </row>
    <row r="9" spans="1:8" ht="13.5" thickBot="1">
      <c r="A9" s="89" t="s">
        <v>143</v>
      </c>
      <c r="B9" s="16" t="s">
        <v>261</v>
      </c>
      <c r="C9" s="217">
        <v>47</v>
      </c>
      <c r="D9" s="237" t="s">
        <v>260</v>
      </c>
      <c r="E9" s="17"/>
      <c r="F9" s="16" t="s">
        <v>285</v>
      </c>
      <c r="G9" s="228">
        <f>19.5/1871</f>
        <v>0.01042223409941208</v>
      </c>
      <c r="H9" s="9" t="s">
        <v>281</v>
      </c>
    </row>
    <row r="10" spans="1:8" ht="13.5" thickTop="1">
      <c r="A10" s="11"/>
      <c r="B10" s="11"/>
      <c r="C10" s="270"/>
      <c r="D10" s="11"/>
      <c r="E10" s="12"/>
      <c r="F10" s="11"/>
      <c r="G10" s="443"/>
      <c r="H10" s="215"/>
    </row>
    <row r="11" spans="1:6" ht="12.75">
      <c r="A11" s="11"/>
      <c r="B11" s="152"/>
      <c r="C11" s="11"/>
      <c r="D11" s="11"/>
      <c r="E11" s="11"/>
      <c r="F11" s="11"/>
    </row>
    <row r="12" spans="5:8" ht="13.5" thickBot="1">
      <c r="E12" s="7"/>
      <c r="G12" s="11"/>
      <c r="H12" s="11"/>
    </row>
    <row r="13" spans="1:8" ht="14.25" thickBot="1" thickTop="1">
      <c r="A13" s="265" t="s">
        <v>262</v>
      </c>
      <c r="B13" s="267" t="s">
        <v>381</v>
      </c>
      <c r="C13" s="267" t="s">
        <v>142</v>
      </c>
      <c r="D13" s="267"/>
      <c r="E13" s="292" t="s">
        <v>30</v>
      </c>
      <c r="G13" s="11"/>
      <c r="H13" s="11"/>
    </row>
    <row r="14" spans="1:8" ht="13.5" thickTop="1">
      <c r="A14" s="13" t="s">
        <v>233</v>
      </c>
      <c r="B14" s="82">
        <f>('Exploitatie MFC'!$I$48)/$E$6*$C$6</f>
        <v>1518.2022359415362</v>
      </c>
      <c r="C14" s="82">
        <f>('Exploitatie MFC'!$I$48)/$E$8*$C$8</f>
        <v>301.0780805453679</v>
      </c>
      <c r="D14" s="15"/>
      <c r="E14" s="428">
        <f>SUM(B14:D14)</f>
        <v>1819.2803164869042</v>
      </c>
      <c r="G14" s="11"/>
      <c r="H14" s="11"/>
    </row>
    <row r="15" spans="1:8" ht="12.75">
      <c r="A15" s="18" t="s">
        <v>234</v>
      </c>
      <c r="B15" s="83">
        <f>('Exploitatie MFC'!$I$49)/$E$6*$C$6</f>
        <v>3077.1712693972518</v>
      </c>
      <c r="C15" s="83">
        <f>('Exploitatie MFC'!$I$49)/$E$8*$C$8</f>
        <v>610.2407158720288</v>
      </c>
      <c r="D15" s="19"/>
      <c r="E15" s="428">
        <f>SUM(B15:D15)</f>
        <v>3687.4119852692806</v>
      </c>
      <c r="G15" s="11"/>
      <c r="H15" s="11"/>
    </row>
    <row r="16" spans="1:8" ht="12.75">
      <c r="A16" s="18" t="s">
        <v>235</v>
      </c>
      <c r="B16" s="83">
        <f>('Exploitatie MFC'!$I$50)/$E$6*$C$6</f>
        <v>1280.641506179912</v>
      </c>
      <c r="C16" s="83">
        <f>('Exploitatie MFC'!$I$50)/$E$8*$C$8</f>
        <v>253.9668809723876</v>
      </c>
      <c r="D16" s="19"/>
      <c r="E16" s="428">
        <f>SUM(B16:D16)</f>
        <v>1534.6083871522997</v>
      </c>
      <c r="G16" s="11"/>
      <c r="H16" s="11"/>
    </row>
    <row r="17" spans="1:8" ht="12.75">
      <c r="A17" s="18" t="s">
        <v>237</v>
      </c>
      <c r="B17" s="83"/>
      <c r="C17" s="83"/>
      <c r="D17" s="19"/>
      <c r="E17" s="448"/>
      <c r="G17" s="11"/>
      <c r="H17" s="11"/>
    </row>
    <row r="18" spans="1:8" ht="12.75">
      <c r="A18" s="18" t="s">
        <v>88</v>
      </c>
      <c r="B18" s="83">
        <f>('Exploitatie MFC'!$I$52)/$E$6*$C$6</f>
        <v>1617.7006468126424</v>
      </c>
      <c r="C18" s="83">
        <f>('Exploitatie MFC'!$I$52)/$E$8*$C$8</f>
        <v>320.80983291221173</v>
      </c>
      <c r="D18" s="19"/>
      <c r="E18" s="428">
        <f aca="true" t="shared" si="0" ref="E18:E24">SUM(B18:D18)</f>
        <v>1938.5104797248541</v>
      </c>
      <c r="G18" s="11"/>
      <c r="H18" s="11"/>
    </row>
    <row r="19" spans="1:8" ht="12.75">
      <c r="A19" s="18" t="s">
        <v>694</v>
      </c>
      <c r="B19" s="83">
        <f>('Exploitatie MFC'!$I$53)/$E$6*$C$6</f>
        <v>129.7125375451145</v>
      </c>
      <c r="C19" s="83">
        <f>('Exploitatie MFC'!$I$53)/$E$8*$C$8</f>
        <v>25.7235833950227</v>
      </c>
      <c r="D19" s="19"/>
      <c r="E19" s="428">
        <f t="shared" si="0"/>
        <v>155.4361209401372</v>
      </c>
      <c r="G19" s="11"/>
      <c r="H19" s="11"/>
    </row>
    <row r="20" spans="1:8" ht="12.75">
      <c r="A20" s="18" t="s">
        <v>72</v>
      </c>
      <c r="B20" s="83">
        <f>('Exploitatie MFC'!$I$54)/$E$6*$C$6</f>
        <v>346.5177788705202</v>
      </c>
      <c r="C20" s="83">
        <f>('Exploitatie MFC'!$I$54)/$E$8*$C$8</f>
        <v>68.71871564098923</v>
      </c>
      <c r="D20" s="19"/>
      <c r="E20" s="428">
        <f t="shared" si="0"/>
        <v>415.2364945115094</v>
      </c>
      <c r="G20" s="11"/>
      <c r="H20" s="11"/>
    </row>
    <row r="21" spans="1:8" ht="12.75">
      <c r="A21" s="18" t="s">
        <v>275</v>
      </c>
      <c r="B21" s="83">
        <f>('Exploitatie MFC'!$I$55)/$E$6*$C$6</f>
        <v>142.68379129962597</v>
      </c>
      <c r="C21" s="83">
        <f>('Exploitatie MFC'!$I$55)/$E$8*$C$8</f>
        <v>28.295941734524977</v>
      </c>
      <c r="D21" s="19"/>
      <c r="E21" s="428">
        <f t="shared" si="0"/>
        <v>170.97973303415094</v>
      </c>
      <c r="F21" s="11"/>
      <c r="G21" s="11"/>
      <c r="H21" s="11"/>
    </row>
    <row r="22" spans="1:8" ht="12.75">
      <c r="A22" s="18" t="s">
        <v>73</v>
      </c>
      <c r="B22" s="83">
        <f>('Exploitatie MFC'!$I$56)/$E$6*$C$6</f>
        <v>887.5887923255134</v>
      </c>
      <c r="C22" s="83">
        <f>('Exploitatie MFC'!$I$56)/$E$8*$C$8</f>
        <v>176.01971830927903</v>
      </c>
      <c r="D22" s="19"/>
      <c r="E22" s="428">
        <f t="shared" si="0"/>
        <v>1063.6085106347923</v>
      </c>
      <c r="F22" s="11"/>
      <c r="G22" s="11"/>
      <c r="H22" s="11"/>
    </row>
    <row r="23" spans="1:5" ht="13.5" thickBot="1">
      <c r="A23" s="18" t="s">
        <v>382</v>
      </c>
      <c r="B23" s="83">
        <f>('Exploitatie MFC'!$I$57)/$E$6*$C$6</f>
        <v>1882.5914002556128</v>
      </c>
      <c r="C23" s="83">
        <f>('Exploitatie MFC'!$I$57)/$E$8*$C$8</f>
        <v>373.34091059921434</v>
      </c>
      <c r="D23" s="19"/>
      <c r="E23" s="482">
        <f t="shared" si="0"/>
        <v>2255.932310854827</v>
      </c>
    </row>
    <row r="24" spans="1:5" ht="14.25" thickBot="1" thickTop="1">
      <c r="A24" s="32" t="s">
        <v>383</v>
      </c>
      <c r="B24" s="446">
        <f>SUM(B14:B23)</f>
        <v>10882.80995862773</v>
      </c>
      <c r="C24" s="446">
        <f>SUM(C14:C23)</f>
        <v>2158.194379981026</v>
      </c>
      <c r="D24" s="446"/>
      <c r="E24" s="449">
        <f t="shared" si="0"/>
        <v>13041.004338608756</v>
      </c>
    </row>
    <row r="25" spans="1:5" ht="14.25" thickBot="1" thickTop="1">
      <c r="A25" s="62"/>
      <c r="B25" s="153"/>
      <c r="C25" s="153"/>
      <c r="D25" s="153"/>
      <c r="E25" s="26"/>
    </row>
    <row r="26" spans="1:5" ht="14.25" thickBot="1" thickTop="1">
      <c r="A26" s="265" t="s">
        <v>261</v>
      </c>
      <c r="B26" s="267" t="s">
        <v>381</v>
      </c>
      <c r="C26" s="267" t="s">
        <v>368</v>
      </c>
      <c r="D26" s="267" t="s">
        <v>143</v>
      </c>
      <c r="E26" s="292" t="s">
        <v>30</v>
      </c>
    </row>
    <row r="27" spans="1:5" ht="13.5" thickTop="1">
      <c r="A27" s="13" t="s">
        <v>233</v>
      </c>
      <c r="B27" s="82">
        <f>('Exploitatie MFC'!$I$48)/$E$5*$C$5</f>
        <v>2716.1086415156597</v>
      </c>
      <c r="C27" s="82">
        <f>('Exploitatie MFC'!$I$48)/$E$7*$C$7</f>
        <v>826.3632423479247</v>
      </c>
      <c r="D27" s="447">
        <f>((Oppervlaktes!C8*Oppervlaktes!E8)*$G$9)*$C$9</f>
        <v>53.40488088407344</v>
      </c>
      <c r="E27" s="483">
        <f>SUM(B27:D27)</f>
        <v>3595.876764747658</v>
      </c>
    </row>
    <row r="28" spans="1:5" ht="12.75">
      <c r="A28" s="18" t="s">
        <v>234</v>
      </c>
      <c r="B28" s="83">
        <f>('Exploitatie MFC'!$I$49)/$E$5*$C$5</f>
        <v>5505.150287866813</v>
      </c>
      <c r="C28" s="83">
        <f>('Exploitatie MFC'!$I$49)/$E$7*$C$7</f>
        <v>1674.9160073934409</v>
      </c>
      <c r="D28" s="340">
        <f>((Oppervlaktes!C9*Oppervlaktes!E9)*$G$9)*$C$9</f>
        <v>219.39414592951124</v>
      </c>
      <c r="E28" s="428">
        <f>SUM(B28:D28)</f>
        <v>7399.460441189765</v>
      </c>
    </row>
    <row r="29" spans="1:5" ht="12.75">
      <c r="A29" s="18" t="s">
        <v>235</v>
      </c>
      <c r="B29" s="83">
        <f>('Exploitatie MFC'!$I$50)/$E$5*$C$5</f>
        <v>2291.1054794104757</v>
      </c>
      <c r="C29" s="83">
        <f>('Exploitatie MFC'!$I$50)/$E$7*$C$7</f>
        <v>697.0580350093192</v>
      </c>
      <c r="D29" s="340">
        <f>((Oppervlaktes!C10*Oppervlaktes!E10)*$G$9)*$C$9</f>
        <v>37.99940917473826</v>
      </c>
      <c r="E29" s="428">
        <f>SUM(B29:D29)</f>
        <v>3026.162923594533</v>
      </c>
    </row>
    <row r="30" spans="1:5" ht="12.75">
      <c r="A30" s="18" t="s">
        <v>237</v>
      </c>
      <c r="B30" s="83"/>
      <c r="C30" s="83"/>
      <c r="D30" s="340"/>
      <c r="E30" s="448"/>
    </row>
    <row r="31" spans="1:5" ht="12.75">
      <c r="A31" s="18" t="s">
        <v>88</v>
      </c>
      <c r="B31" s="83">
        <f>('Exploitatie MFC'!$I$52)/$E$5*$C$5</f>
        <v>2894.114237335698</v>
      </c>
      <c r="C31" s="83">
        <f>('Exploitatie MFC'!$I$52)/$E$7*$C$7</f>
        <v>880.5206052271344</v>
      </c>
      <c r="D31" s="340">
        <f>((Oppervlaktes!C11*Oppervlaktes!E11)*$G$9)*$C$9</f>
        <v>60.63425077825062</v>
      </c>
      <c r="E31" s="428">
        <f aca="true" t="shared" si="1" ref="E31:E37">SUM(B31:D31)</f>
        <v>3835.2690933410827</v>
      </c>
    </row>
    <row r="32" spans="1:5" ht="12.75">
      <c r="A32" s="18" t="s">
        <v>694</v>
      </c>
      <c r="B32" s="83">
        <f>('Exploitatie MFC'!$I$53)/$E$5*$C$5</f>
        <v>232.05956084020482</v>
      </c>
      <c r="C32" s="83">
        <f>('Exploitatie MFC'!$I$53)/$E$7*$C$7</f>
        <v>70.60302676506231</v>
      </c>
      <c r="D32" s="340">
        <f>((Oppervlaktes!C13*Oppervlaktes!E13)*$G$9)*$C$9</f>
        <v>0.3898392907413679</v>
      </c>
      <c r="E32" s="428">
        <f t="shared" si="1"/>
        <v>303.0524268960085</v>
      </c>
    </row>
    <row r="33" spans="1:5" ht="12.75">
      <c r="A33" s="18" t="s">
        <v>72</v>
      </c>
      <c r="B33" s="83">
        <f>('Exploitatie MFC'!$I$54)/$E$5*$C$5</f>
        <v>619.9305411016902</v>
      </c>
      <c r="C33" s="83">
        <f>('Exploitatie MFC'!$I$54)/$E$7*$C$7</f>
        <v>188.61094292952367</v>
      </c>
      <c r="D33" s="340">
        <f>((Oppervlaktes!C14*Oppervlaktes!E14)*$G$9)*$C$9</f>
        <v>2.782100032231611</v>
      </c>
      <c r="E33" s="428">
        <f t="shared" si="1"/>
        <v>811.3235840634455</v>
      </c>
    </row>
    <row r="34" spans="1:5" ht="12.75">
      <c r="A34" s="18" t="s">
        <v>275</v>
      </c>
      <c r="B34" s="83">
        <f>('Exploitatie MFC'!$I$55)/$E$5*$C$5</f>
        <v>255.26551692422535</v>
      </c>
      <c r="C34" s="83">
        <f>('Exploitatie MFC'!$I$55)/$E$7*$C$7</f>
        <v>77.66332944156856</v>
      </c>
      <c r="D34" s="340">
        <f>((Oppervlaktes!C15*Oppervlaktes!E15)*$G$9)*$C$9</f>
        <v>25.848731747320503</v>
      </c>
      <c r="E34" s="428">
        <f t="shared" si="1"/>
        <v>358.77757811311443</v>
      </c>
    </row>
    <row r="35" spans="1:5" ht="12.75">
      <c r="A35" s="18" t="s">
        <v>73</v>
      </c>
      <c r="B35" s="83">
        <f>('Exploitatie MFC'!$I$56)/$E$5*$C$5</f>
        <v>1587.9225651730703</v>
      </c>
      <c r="C35" s="83">
        <f>('Exploitatie MFC'!$I$56)/$E$7*$C$7</f>
        <v>483.11795025312756</v>
      </c>
      <c r="D35" s="340">
        <f>((Oppervlaktes!C15*Oppervlaktes!E15)*$G$9)*$C$9</f>
        <v>25.848731747320503</v>
      </c>
      <c r="E35" s="428">
        <f t="shared" si="1"/>
        <v>2096.8892471735185</v>
      </c>
    </row>
    <row r="36" spans="1:5" ht="13.5" thickBot="1">
      <c r="A36" s="18" t="s">
        <v>382</v>
      </c>
      <c r="B36" s="83">
        <f>('Exploitatie MFC'!$I$57)/$E$5*$C$5</f>
        <v>3368.0116190227</v>
      </c>
      <c r="C36" s="83">
        <f>('Exploitatie MFC'!$I$57)/$E$7*$C$7</f>
        <v>1024.701648240397</v>
      </c>
      <c r="D36" s="340">
        <f>(((Oppervlaktes!C19*Oppervlaktes!E19)*$G$9)*$C$9)</f>
        <v>101.58534076890753</v>
      </c>
      <c r="E36" s="482">
        <f t="shared" si="1"/>
        <v>4494.298608032004</v>
      </c>
    </row>
    <row r="37" spans="1:5" ht="14.25" thickBot="1" thickTop="1">
      <c r="A37" s="32" t="s">
        <v>383</v>
      </c>
      <c r="B37" s="446">
        <f>SUM(B27:B36)</f>
        <v>19469.66844919054</v>
      </c>
      <c r="C37" s="446">
        <f>SUM(C27:C36)</f>
        <v>5923.554787607499</v>
      </c>
      <c r="D37" s="446">
        <f>SUM(D27:D36)</f>
        <v>527.8874303530952</v>
      </c>
      <c r="E37" s="449">
        <f t="shared" si="1"/>
        <v>25921.110667151133</v>
      </c>
    </row>
    <row r="38" spans="1:4" ht="13.5" thickTop="1">
      <c r="A38" s="62"/>
      <c r="B38" s="153"/>
      <c r="C38" s="153"/>
      <c r="D38" s="153"/>
    </row>
    <row r="39" ht="12.75">
      <c r="A39" s="11"/>
    </row>
    <row r="40" ht="12.75" hidden="1">
      <c r="A40" s="1" t="s">
        <v>265</v>
      </c>
    </row>
    <row r="41" spans="7:8" ht="13.5" hidden="1" thickBot="1">
      <c r="G41" s="7"/>
      <c r="H41" s="7"/>
    </row>
    <row r="42" spans="1:8" ht="14.25" hidden="1" thickBot="1" thickTop="1">
      <c r="A42" s="28" t="s">
        <v>263</v>
      </c>
      <c r="B42" s="26"/>
      <c r="C42" s="26"/>
      <c r="D42" s="26"/>
      <c r="E42" s="26"/>
      <c r="F42" s="26"/>
      <c r="G42" s="26"/>
      <c r="H42" s="29"/>
    </row>
    <row r="43" spans="1:8" ht="13.5" hidden="1" thickTop="1">
      <c r="A43" s="13" t="s">
        <v>164</v>
      </c>
      <c r="B43" s="15" t="s">
        <v>261</v>
      </c>
      <c r="C43" s="219">
        <f>20164</f>
        <v>20164</v>
      </c>
      <c r="D43" s="215"/>
      <c r="E43" s="215"/>
      <c r="F43" s="215"/>
      <c r="H43" s="27"/>
    </row>
    <row r="44" spans="1:8" ht="12.75" hidden="1">
      <c r="A44" s="18"/>
      <c r="B44" s="19" t="s">
        <v>262</v>
      </c>
      <c r="C44" s="83">
        <v>24196</v>
      </c>
      <c r="D44" s="11"/>
      <c r="E44" s="11"/>
      <c r="F44" s="11"/>
      <c r="H44" s="27"/>
    </row>
    <row r="45" spans="1:8" ht="12.75" hidden="1">
      <c r="A45" s="18" t="s">
        <v>266</v>
      </c>
      <c r="B45" s="19" t="s">
        <v>261</v>
      </c>
      <c r="C45" s="98"/>
      <c r="D45" s="11" t="s">
        <v>267</v>
      </c>
      <c r="E45" s="11"/>
      <c r="F45" s="11"/>
      <c r="H45" s="27"/>
    </row>
    <row r="46" spans="1:8" ht="13.5" hidden="1" thickBot="1">
      <c r="A46" s="14"/>
      <c r="B46" s="16" t="s">
        <v>262</v>
      </c>
      <c r="C46" s="84"/>
      <c r="D46" s="7" t="s">
        <v>268</v>
      </c>
      <c r="E46" s="7"/>
      <c r="F46" s="7"/>
      <c r="G46" s="7"/>
      <c r="H46" s="9"/>
    </row>
    <row r="47" spans="1:8" ht="14.25" hidden="1" thickBot="1" thickTop="1">
      <c r="A47" s="28" t="s">
        <v>264</v>
      </c>
      <c r="B47" s="40"/>
      <c r="C47" s="220"/>
      <c r="D47" s="26"/>
      <c r="E47" s="26"/>
      <c r="F47" s="26"/>
      <c r="G47" s="26"/>
      <c r="H47" s="2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3"/>
  <headerFooter alignWithMargins="0">
    <oddFooter>&amp;LConceptversie - 20 juni 2007 (Alleen te gebruiken voor interne doeleinden)&amp;RTabblad -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9.8515625" style="0" customWidth="1"/>
    <col min="2" max="2" width="11.421875" style="0" customWidth="1"/>
    <col min="3" max="3" width="22.140625" style="0" customWidth="1"/>
    <col min="5" max="5" width="20.8515625" style="0" customWidth="1"/>
  </cols>
  <sheetData>
    <row r="1" spans="1:2" ht="20.25">
      <c r="A1" s="4" t="s">
        <v>567</v>
      </c>
      <c r="B1" s="61"/>
    </row>
    <row r="2" ht="13.5" thickBot="1"/>
    <row r="3" spans="1:5" ht="14.25" thickBot="1" thickTop="1">
      <c r="A3" s="265" t="s">
        <v>569</v>
      </c>
      <c r="B3" s="34" t="s">
        <v>356</v>
      </c>
      <c r="C3" s="621"/>
      <c r="E3" s="622" t="s">
        <v>84</v>
      </c>
    </row>
    <row r="4" spans="1:5" ht="14.25" thickBot="1" thickTop="1">
      <c r="A4" s="442" t="s">
        <v>568</v>
      </c>
      <c r="B4" s="627">
        <f>234.5+(0.45*Oppervlaktes!$C$28)</f>
        <v>3732.35</v>
      </c>
      <c r="C4" s="623"/>
      <c r="E4" s="624" t="s">
        <v>355</v>
      </c>
    </row>
    <row r="5" spans="1:3" ht="14.25" thickBot="1" thickTop="1">
      <c r="A5" s="14" t="s">
        <v>566</v>
      </c>
      <c r="B5" s="217">
        <v>1500</v>
      </c>
      <c r="C5" s="625"/>
    </row>
    <row r="6" spans="1:3" ht="14.25" thickBot="1" thickTop="1">
      <c r="A6" s="89" t="s">
        <v>30</v>
      </c>
      <c r="B6" s="227">
        <f>B4+B5</f>
        <v>5232.35</v>
      </c>
      <c r="C6" s="626" t="s">
        <v>262</v>
      </c>
    </row>
    <row r="7" ht="14.25" thickBot="1" thickTop="1"/>
    <row r="8" spans="1:3" ht="14.25" thickBot="1" thickTop="1">
      <c r="A8" s="265" t="s">
        <v>570</v>
      </c>
      <c r="B8" s="34" t="s">
        <v>356</v>
      </c>
      <c r="C8" s="621"/>
    </row>
    <row r="9" spans="1:3" ht="13.5" thickTop="1">
      <c r="A9" s="442" t="s">
        <v>565</v>
      </c>
      <c r="B9" s="216">
        <f>B4/5</f>
        <v>746.47</v>
      </c>
      <c r="C9" s="623"/>
    </row>
    <row r="10" spans="1:3" ht="13.5" thickBot="1">
      <c r="A10" s="14" t="s">
        <v>566</v>
      </c>
      <c r="B10" s="217">
        <f>B5/5</f>
        <v>300</v>
      </c>
      <c r="C10" s="625"/>
    </row>
    <row r="11" spans="1:3" ht="14.25" thickBot="1" thickTop="1">
      <c r="A11" s="89" t="s">
        <v>30</v>
      </c>
      <c r="B11" s="227">
        <f>B9+B10</f>
        <v>1046.47</v>
      </c>
      <c r="C11" s="626" t="s">
        <v>262</v>
      </c>
    </row>
    <row r="12" spans="2:3" ht="14.25" thickBot="1" thickTop="1">
      <c r="B12" s="26"/>
      <c r="C12" s="26"/>
    </row>
    <row r="13" spans="1:3" ht="14.25" thickBot="1" thickTop="1">
      <c r="A13" s="44" t="s">
        <v>685</v>
      </c>
      <c r="B13" s="316" t="s">
        <v>224</v>
      </c>
      <c r="C13" s="318" t="s">
        <v>356</v>
      </c>
    </row>
    <row r="14" spans="1:3" ht="13.5" thickTop="1">
      <c r="A14" s="13" t="s">
        <v>367</v>
      </c>
      <c r="B14" s="459">
        <f>Oppervlaktes!$E$8</f>
        <v>0.13306889719019005</v>
      </c>
      <c r="C14" s="240">
        <f>$B$11*B14</f>
        <v>139.25260884261817</v>
      </c>
    </row>
    <row r="15" spans="1:3" ht="12.75">
      <c r="A15" s="18" t="s">
        <v>70</v>
      </c>
      <c r="B15" s="459">
        <f>Oppervlaktes!$E$9</f>
        <v>0.2697109631313952</v>
      </c>
      <c r="C15" s="240">
        <f aca="true" t="shared" si="0" ref="C15:C22">$B$11*B15</f>
        <v>282.2444315881111</v>
      </c>
    </row>
    <row r="16" spans="1:3" ht="12.75">
      <c r="A16" s="18" t="s">
        <v>71</v>
      </c>
      <c r="B16" s="459">
        <f>Oppervlaktes!$E$10</f>
        <v>0.11224693844404744</v>
      </c>
      <c r="C16" s="240">
        <f t="shared" si="0"/>
        <v>117.46305367354233</v>
      </c>
    </row>
    <row r="17" spans="1:3" ht="12.75">
      <c r="A17" s="18" t="s">
        <v>88</v>
      </c>
      <c r="B17" s="459">
        <f>Oppervlaktes!$E$11</f>
        <v>0.14178983271073578</v>
      </c>
      <c r="C17" s="240">
        <f t="shared" si="0"/>
        <v>148.37880623680368</v>
      </c>
    </row>
    <row r="18" spans="1:3" ht="12.75">
      <c r="A18" s="18" t="s">
        <v>694</v>
      </c>
      <c r="B18" s="459">
        <f>Oppervlaktes!$E$13</f>
        <v>0.011369173298684426</v>
      </c>
      <c r="C18" s="240">
        <f t="shared" si="0"/>
        <v>11.897498781874292</v>
      </c>
    </row>
    <row r="19" spans="1:3" ht="12.75">
      <c r="A19" s="18" t="s">
        <v>72</v>
      </c>
      <c r="B19" s="459">
        <f>Oppervlaktes!$E$14</f>
        <v>0.030371934383628396</v>
      </c>
      <c r="C19" s="240">
        <f t="shared" si="0"/>
        <v>31.783318174435607</v>
      </c>
    </row>
    <row r="20" spans="1:3" ht="12.75">
      <c r="A20" s="18" t="s">
        <v>73</v>
      </c>
      <c r="B20" s="459">
        <f>Oppervlaktes!$E$15</f>
        <v>0.09257755400357319</v>
      </c>
      <c r="C20" s="240">
        <f t="shared" si="0"/>
        <v>96.87963293811924</v>
      </c>
    </row>
    <row r="21" spans="1:3" ht="12.75">
      <c r="A21" s="18" t="s">
        <v>275</v>
      </c>
      <c r="B21" s="459">
        <f>Oppervlaktes!$E$16</f>
        <v>0.01250609062855287</v>
      </c>
      <c r="C21" s="240">
        <f t="shared" si="0"/>
        <v>13.087248660061723</v>
      </c>
    </row>
    <row r="22" spans="1:3" ht="13.5" thickBot="1">
      <c r="A22" s="14" t="s">
        <v>386</v>
      </c>
      <c r="B22" s="242">
        <f>Oppervlaktes!$E$17+Oppervlaktes!$E$19</f>
        <v>0.19635861620919284</v>
      </c>
      <c r="C22" s="240">
        <f t="shared" si="0"/>
        <v>205.48340110443405</v>
      </c>
    </row>
    <row r="23" spans="1:3" ht="14.25" thickBot="1" thickTop="1">
      <c r="A23" s="22"/>
      <c r="B23" s="460">
        <f>SUM(B14:B22)</f>
        <v>1.0000000000000002</v>
      </c>
      <c r="C23" s="249">
        <f>SUM(C14:C22)</f>
        <v>1046.4700000000003</v>
      </c>
    </row>
    <row r="24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&amp;LConceptversie - 20 juni 2007 (Alleen te gebruiken voor interne doeleinden)&amp;RTabblad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E31"/>
  <sheetViews>
    <sheetView zoomScalePageLayoutView="0" workbookViewId="0" topLeftCell="A1">
      <selection activeCell="E1" sqref="E1:E2"/>
    </sheetView>
  </sheetViews>
  <sheetFormatPr defaultColWidth="9.140625" defaultRowHeight="12.75"/>
  <cols>
    <col min="1" max="1" width="43.7109375" style="0" bestFit="1" customWidth="1"/>
    <col min="2" max="2" width="18.57421875" style="0" customWidth="1"/>
    <col min="3" max="3" width="16.28125" style="0" customWidth="1"/>
    <col min="4" max="4" width="16.421875" style="0" customWidth="1"/>
    <col min="5" max="5" width="15.8515625" style="0" customWidth="1"/>
    <col min="6" max="6" width="17.00390625" style="0" customWidth="1"/>
  </cols>
  <sheetData>
    <row r="1" spans="1:5" ht="21" thickTop="1">
      <c r="A1" s="4" t="s">
        <v>269</v>
      </c>
      <c r="B1" s="4"/>
      <c r="E1" s="622" t="s">
        <v>84</v>
      </c>
    </row>
    <row r="2" ht="13.5" thickBot="1">
      <c r="E2" s="624" t="s">
        <v>355</v>
      </c>
    </row>
    <row r="3" spans="1:3" ht="13.5" thickTop="1">
      <c r="A3" s="1" t="s">
        <v>292</v>
      </c>
      <c r="B3" s="1"/>
      <c r="C3" s="210"/>
    </row>
    <row r="4" spans="1:4" ht="12.75">
      <c r="A4" t="s">
        <v>571</v>
      </c>
      <c r="B4" s="230">
        <v>0.00122</v>
      </c>
      <c r="C4" s="104" t="s">
        <v>293</v>
      </c>
      <c r="D4" s="201" t="s">
        <v>572</v>
      </c>
    </row>
    <row r="5" spans="1:4" ht="12.75">
      <c r="A5" t="s">
        <v>573</v>
      </c>
      <c r="B5" s="230">
        <f>0.12%</f>
        <v>0.0012</v>
      </c>
      <c r="C5" s="104" t="s">
        <v>293</v>
      </c>
      <c r="D5" s="201" t="s">
        <v>574</v>
      </c>
    </row>
    <row r="6" spans="2:3" ht="12.75">
      <c r="B6" s="232"/>
      <c r="C6" s="104"/>
    </row>
    <row r="7" spans="2:4" ht="12.75">
      <c r="B7" t="s">
        <v>369</v>
      </c>
      <c r="D7" s="231"/>
    </row>
    <row r="8" ht="12.75">
      <c r="D8" s="231"/>
    </row>
    <row r="9" spans="1:2" ht="13.5" thickBot="1">
      <c r="A9" s="1"/>
      <c r="B9" s="1"/>
    </row>
    <row r="10" spans="1:4" ht="14.25" thickBot="1" thickTop="1">
      <c r="A10" s="265" t="s">
        <v>385</v>
      </c>
      <c r="B10" s="267" t="s">
        <v>273</v>
      </c>
      <c r="C10" s="267" t="s">
        <v>224</v>
      </c>
      <c r="D10" s="292" t="s">
        <v>274</v>
      </c>
    </row>
    <row r="11" spans="1:4" ht="13.5" thickTop="1">
      <c r="A11" s="10" t="s">
        <v>367</v>
      </c>
      <c r="B11" s="451">
        <f>'Exploitatie MFC'!E48</f>
        <v>1345780.7998630786</v>
      </c>
      <c r="C11" s="233">
        <f aca="true" t="shared" si="0" ref="C11:C19">$B$4</f>
        <v>0.00122</v>
      </c>
      <c r="D11" s="453">
        <f aca="true" t="shared" si="1" ref="D11:D19">B11*C11</f>
        <v>1641.8525758329558</v>
      </c>
    </row>
    <row r="12" spans="1:4" ht="12.75">
      <c r="A12" s="5" t="s">
        <v>70</v>
      </c>
      <c r="B12" s="452">
        <f>'Exploitatie MFC'!E49</f>
        <v>2727698.5333096227</v>
      </c>
      <c r="C12" s="233">
        <f t="shared" si="0"/>
        <v>0.00122</v>
      </c>
      <c r="D12" s="453">
        <f t="shared" si="1"/>
        <v>3327.7922106377396</v>
      </c>
    </row>
    <row r="13" spans="1:4" ht="12.75">
      <c r="A13" s="5" t="s">
        <v>71</v>
      </c>
      <c r="B13" s="452">
        <f>'Exploitatie MFC'!E50</f>
        <v>1135199.7182745736</v>
      </c>
      <c r="C13" s="233">
        <f t="shared" si="0"/>
        <v>0.00122</v>
      </c>
      <c r="D13" s="453">
        <f t="shared" si="1"/>
        <v>1384.9436562949797</v>
      </c>
    </row>
    <row r="14" spans="1:4" ht="12.75">
      <c r="A14" s="5" t="s">
        <v>88</v>
      </c>
      <c r="B14" s="450">
        <f>'Exploitatie MFC'!E52</f>
        <v>1433979.2281075083</v>
      </c>
      <c r="C14" s="233">
        <f t="shared" si="0"/>
        <v>0.00122</v>
      </c>
      <c r="D14" s="453">
        <f t="shared" si="1"/>
        <v>1749.45465829116</v>
      </c>
    </row>
    <row r="15" spans="1:4" ht="12.75">
      <c r="A15" s="5" t="s">
        <v>694</v>
      </c>
      <c r="B15" s="450">
        <f>'Exploitatie MFC'!E53</f>
        <v>114981.15231102586</v>
      </c>
      <c r="C15" s="233">
        <f t="shared" si="0"/>
        <v>0.00122</v>
      </c>
      <c r="D15" s="453">
        <f t="shared" si="1"/>
        <v>140.27700581945155</v>
      </c>
    </row>
    <row r="16" spans="1:4" ht="12.75">
      <c r="A16" s="5" t="s">
        <v>72</v>
      </c>
      <c r="B16" s="450">
        <f>'Exploitatie MFC'!E54</f>
        <v>307163.93545945483</v>
      </c>
      <c r="C16" s="233">
        <f t="shared" si="0"/>
        <v>0.00122</v>
      </c>
      <c r="D16" s="453">
        <f t="shared" si="1"/>
        <v>374.7400012605349</v>
      </c>
    </row>
    <row r="17" spans="1:4" ht="12.75">
      <c r="A17" s="5" t="s">
        <v>73</v>
      </c>
      <c r="B17" s="450">
        <f>'Exploitatie MFC'!E56</f>
        <v>936275.0973897821</v>
      </c>
      <c r="C17" s="233">
        <f t="shared" si="0"/>
        <v>0.00122</v>
      </c>
      <c r="D17" s="453">
        <f t="shared" si="1"/>
        <v>1142.255618815534</v>
      </c>
    </row>
    <row r="18" spans="1:4" ht="12.75">
      <c r="A18" s="405" t="s">
        <v>275</v>
      </c>
      <c r="B18" s="450">
        <f>'Exploitatie MFC'!E55</f>
        <v>126479.26754212847</v>
      </c>
      <c r="C18" s="233">
        <f t="shared" si="0"/>
        <v>0.00122</v>
      </c>
      <c r="D18" s="453">
        <f t="shared" si="1"/>
        <v>154.30470640139671</v>
      </c>
    </row>
    <row r="19" spans="1:4" ht="13.5" thickBot="1">
      <c r="A19" s="5" t="s">
        <v>386</v>
      </c>
      <c r="B19" s="450">
        <f>'Exploitatie MFC'!E57</f>
        <v>1985855.9074426296</v>
      </c>
      <c r="C19" s="233">
        <f t="shared" si="0"/>
        <v>0.00122</v>
      </c>
      <c r="D19" s="453">
        <f t="shared" si="1"/>
        <v>2422.744207080008</v>
      </c>
    </row>
    <row r="20" spans="1:4" ht="14.25" thickBot="1" thickTop="1">
      <c r="A20" s="166" t="s">
        <v>384</v>
      </c>
      <c r="B20" s="40"/>
      <c r="C20" s="40"/>
      <c r="D20" s="454">
        <f>SUM(D11:D19)</f>
        <v>12338.364640433761</v>
      </c>
    </row>
    <row r="21" ht="13.5" thickTop="1"/>
    <row r="22" ht="13.5" thickBot="1"/>
    <row r="23" spans="1:4" ht="14.25" thickBot="1" thickTop="1">
      <c r="A23" s="265" t="s">
        <v>576</v>
      </c>
      <c r="B23" s="267" t="s">
        <v>273</v>
      </c>
      <c r="C23" s="267" t="s">
        <v>224</v>
      </c>
      <c r="D23" s="292" t="s">
        <v>274</v>
      </c>
    </row>
    <row r="24" spans="1:4" ht="14.25" thickBot="1" thickTop="1">
      <c r="A24" s="5" t="s">
        <v>575</v>
      </c>
      <c r="B24" s="450">
        <f>'Exploitatie MFC'!I57</f>
        <v>1985855.9074426296</v>
      </c>
      <c r="C24" s="629">
        <f>B5</f>
        <v>0.0012</v>
      </c>
      <c r="D24" s="453">
        <f>B24*C24</f>
        <v>2383.027088931155</v>
      </c>
    </row>
    <row r="25" spans="1:4" ht="14.25" thickBot="1" thickTop="1">
      <c r="A25" s="166" t="s">
        <v>384</v>
      </c>
      <c r="B25" s="628"/>
      <c r="C25" s="40"/>
      <c r="D25" s="454">
        <f>SUM(D24:D24)</f>
        <v>2383.027088931155</v>
      </c>
    </row>
    <row r="26" ht="13.5" thickTop="1"/>
    <row r="27" ht="12.75">
      <c r="A27" s="269" t="s">
        <v>577</v>
      </c>
    </row>
    <row r="29" spans="1:2" ht="0.75" customHeight="1">
      <c r="A29" s="1" t="s">
        <v>291</v>
      </c>
      <c r="B29" s="1"/>
    </row>
    <row r="30" spans="1:4" ht="12.75" hidden="1">
      <c r="A30" t="s">
        <v>270</v>
      </c>
      <c r="C30" s="104">
        <v>0.0022</v>
      </c>
      <c r="D30" t="s">
        <v>272</v>
      </c>
    </row>
    <row r="31" spans="1:4" ht="12.75" hidden="1">
      <c r="A31" t="s">
        <v>271</v>
      </c>
      <c r="C31" s="104">
        <v>0.0005</v>
      </c>
      <c r="D31" t="s">
        <v>272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3"/>
  <headerFooter alignWithMargins="0">
    <oddFooter>&amp;LConceptversie - 20 juni 2007 (Alleen te gebruiken voor interne doeleinden)&amp;RTabblad - 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I72"/>
  <sheetViews>
    <sheetView zoomScalePageLayoutView="0" workbookViewId="0" topLeftCell="A46">
      <selection activeCell="B56" sqref="B56"/>
    </sheetView>
  </sheetViews>
  <sheetFormatPr defaultColWidth="9.140625" defaultRowHeight="12.75"/>
  <cols>
    <col min="1" max="1" width="55.7109375" style="0" customWidth="1"/>
    <col min="2" max="2" width="15.7109375" style="0" customWidth="1"/>
    <col min="3" max="3" width="14.00390625" style="0" customWidth="1"/>
    <col min="4" max="4" width="10.140625" style="0" customWidth="1"/>
    <col min="6" max="7" width="12.7109375" style="0" customWidth="1"/>
    <col min="8" max="8" width="11.8515625" style="0" bestFit="1" customWidth="1"/>
  </cols>
  <sheetData>
    <row r="1" ht="20.25">
      <c r="A1" s="4" t="s">
        <v>324</v>
      </c>
    </row>
    <row r="2" ht="13.5" thickBot="1"/>
    <row r="3" spans="1:7" ht="14.25" thickBot="1" thickTop="1">
      <c r="A3" s="265" t="s">
        <v>136</v>
      </c>
      <c r="B3" s="296">
        <v>2006</v>
      </c>
      <c r="C3" s="36"/>
      <c r="D3" s="31"/>
      <c r="F3" s="622" t="s">
        <v>84</v>
      </c>
      <c r="G3" s="920"/>
    </row>
    <row r="4" spans="1:7" ht="14.25" thickBot="1" thickTop="1">
      <c r="A4" s="75" t="s">
        <v>721</v>
      </c>
      <c r="B4" s="11" t="s">
        <v>137</v>
      </c>
      <c r="C4" s="11"/>
      <c r="D4" s="27"/>
      <c r="F4" s="624" t="s">
        <v>355</v>
      </c>
      <c r="G4" s="462"/>
    </row>
    <row r="5" spans="1:4" ht="13.5" thickTop="1">
      <c r="A5" s="75" t="s">
        <v>720</v>
      </c>
      <c r="B5" s="87">
        <v>0.15</v>
      </c>
      <c r="C5" s="11"/>
      <c r="D5" s="27"/>
    </row>
    <row r="6" spans="1:4" ht="13.5" thickBot="1">
      <c r="A6" s="89" t="s">
        <v>140</v>
      </c>
      <c r="B6" s="88">
        <v>0.055</v>
      </c>
      <c r="C6" s="7"/>
      <c r="D6" s="9"/>
    </row>
    <row r="7" ht="14.25" thickBot="1" thickTop="1"/>
    <row r="8" spans="1:7" ht="14.25" thickBot="1" thickTop="1">
      <c r="A8" s="32" t="s">
        <v>135</v>
      </c>
      <c r="B8" s="34" t="s">
        <v>95</v>
      </c>
      <c r="C8" s="34" t="s">
        <v>322</v>
      </c>
      <c r="D8" s="168" t="s">
        <v>323</v>
      </c>
      <c r="F8" s="32" t="s">
        <v>655</v>
      </c>
      <c r="G8" s="168" t="s">
        <v>656</v>
      </c>
    </row>
    <row r="9" spans="1:7" ht="13.5" thickTop="1">
      <c r="A9" s="299" t="s">
        <v>96</v>
      </c>
      <c r="B9" s="83">
        <v>121144</v>
      </c>
      <c r="C9" s="83"/>
      <c r="D9" s="37"/>
      <c r="E9" s="86"/>
      <c r="F9" s="13"/>
      <c r="G9" s="850"/>
    </row>
    <row r="10" spans="1:7" ht="12.75">
      <c r="A10" s="299" t="s">
        <v>97</v>
      </c>
      <c r="B10" s="83">
        <v>5624</v>
      </c>
      <c r="C10" s="83"/>
      <c r="D10" s="37"/>
      <c r="E10" s="86"/>
      <c r="F10" s="18"/>
      <c r="G10" s="37"/>
    </row>
    <row r="11" spans="1:7" ht="12.75">
      <c r="A11" s="299" t="s">
        <v>98</v>
      </c>
      <c r="B11" s="83">
        <v>89680</v>
      </c>
      <c r="C11" s="83"/>
      <c r="D11" s="37"/>
      <c r="E11" s="86"/>
      <c r="F11" s="18"/>
      <c r="G11" s="37"/>
    </row>
    <row r="12" spans="1:7" ht="12.75">
      <c r="A12" s="299" t="s">
        <v>99</v>
      </c>
      <c r="B12" s="83">
        <v>65208</v>
      </c>
      <c r="C12" s="83"/>
      <c r="D12" s="37"/>
      <c r="E12" s="86"/>
      <c r="F12" s="18"/>
      <c r="G12" s="37"/>
    </row>
    <row r="13" spans="1:7" ht="12.75">
      <c r="A13" s="299" t="s">
        <v>100</v>
      </c>
      <c r="B13" s="83">
        <v>571900</v>
      </c>
      <c r="C13" s="83">
        <v>2888</v>
      </c>
      <c r="D13" s="37"/>
      <c r="E13" s="86"/>
      <c r="F13" s="848">
        <f>C13</f>
        <v>2888</v>
      </c>
      <c r="G13" s="37"/>
    </row>
    <row r="14" spans="1:7" ht="12.75">
      <c r="A14" s="299" t="s">
        <v>101</v>
      </c>
      <c r="B14" s="83">
        <v>494000</v>
      </c>
      <c r="C14" s="83"/>
      <c r="D14" s="37"/>
      <c r="E14" s="86"/>
      <c r="F14" s="18"/>
      <c r="G14" s="37"/>
    </row>
    <row r="15" spans="1:7" ht="12.75">
      <c r="A15" s="299" t="s">
        <v>102</v>
      </c>
      <c r="B15" s="83">
        <v>782800</v>
      </c>
      <c r="C15" s="83"/>
      <c r="D15" s="37"/>
      <c r="E15" s="86"/>
      <c r="F15" s="18"/>
      <c r="G15" s="37"/>
    </row>
    <row r="16" spans="1:7" ht="12.75">
      <c r="A16" s="299" t="s">
        <v>103</v>
      </c>
      <c r="B16" s="83">
        <v>65892</v>
      </c>
      <c r="C16" s="83"/>
      <c r="D16" s="37"/>
      <c r="E16" s="86"/>
      <c r="F16" s="18"/>
      <c r="G16" s="37"/>
    </row>
    <row r="17" spans="1:7" ht="12.75">
      <c r="A17" s="299" t="s">
        <v>104</v>
      </c>
      <c r="B17" s="83">
        <v>148960</v>
      </c>
      <c r="C17" s="83"/>
      <c r="D17" s="37"/>
      <c r="E17" s="86"/>
      <c r="F17" s="18"/>
      <c r="G17" s="37"/>
    </row>
    <row r="18" spans="1:7" ht="12.75">
      <c r="A18" s="299" t="s">
        <v>105</v>
      </c>
      <c r="B18" s="83">
        <v>314868</v>
      </c>
      <c r="C18" s="83"/>
      <c r="D18" s="37"/>
      <c r="E18" s="86"/>
      <c r="F18" s="18"/>
      <c r="G18" s="37"/>
    </row>
    <row r="19" spans="1:7" ht="12.75">
      <c r="A19" s="299" t="s">
        <v>106</v>
      </c>
      <c r="B19" s="83">
        <v>916256</v>
      </c>
      <c r="C19" s="83">
        <v>6612</v>
      </c>
      <c r="D19" s="37">
        <v>7372</v>
      </c>
      <c r="E19" s="86"/>
      <c r="F19" s="848">
        <f>C19</f>
        <v>6612</v>
      </c>
      <c r="G19" s="37">
        <f>D19</f>
        <v>7372</v>
      </c>
    </row>
    <row r="20" spans="1:7" ht="12.75">
      <c r="A20" s="299" t="s">
        <v>107</v>
      </c>
      <c r="B20" s="83">
        <v>107464</v>
      </c>
      <c r="C20" s="83">
        <v>5624</v>
      </c>
      <c r="D20" s="37">
        <v>3952</v>
      </c>
      <c r="E20" s="86"/>
      <c r="F20" s="848">
        <f>C20</f>
        <v>5624</v>
      </c>
      <c r="G20" s="37">
        <f>D20</f>
        <v>3952</v>
      </c>
    </row>
    <row r="21" spans="1:7" ht="12.75">
      <c r="A21" s="299" t="s">
        <v>108</v>
      </c>
      <c r="B21" s="83">
        <v>99256</v>
      </c>
      <c r="C21" s="83">
        <v>3876</v>
      </c>
      <c r="D21" s="37">
        <v>3572</v>
      </c>
      <c r="E21" s="86"/>
      <c r="F21" s="18"/>
      <c r="G21" s="37">
        <f>C21+D21</f>
        <v>7448</v>
      </c>
    </row>
    <row r="22" spans="1:7" ht="12.75">
      <c r="A22" s="299" t="s">
        <v>109</v>
      </c>
      <c r="B22" s="83">
        <v>308864</v>
      </c>
      <c r="C22" s="83">
        <v>9424</v>
      </c>
      <c r="D22" s="37">
        <v>380</v>
      </c>
      <c r="E22" s="86"/>
      <c r="F22" s="18"/>
      <c r="G22" s="37">
        <f>C22+D22</f>
        <v>9804</v>
      </c>
    </row>
    <row r="23" spans="1:7" ht="12.75">
      <c r="A23" s="299" t="s">
        <v>110</v>
      </c>
      <c r="B23" s="83">
        <v>229140</v>
      </c>
      <c r="C23" s="83">
        <v>3116</v>
      </c>
      <c r="D23" s="37">
        <v>6308</v>
      </c>
      <c r="E23" s="86"/>
      <c r="F23" s="848">
        <f>C23+D23</f>
        <v>9424</v>
      </c>
      <c r="G23" s="37"/>
    </row>
    <row r="24" spans="1:7" ht="12.75">
      <c r="A24" s="299" t="s">
        <v>111</v>
      </c>
      <c r="B24" s="83">
        <v>112784</v>
      </c>
      <c r="C24" s="83">
        <v>2432</v>
      </c>
      <c r="D24" s="37">
        <v>456</v>
      </c>
      <c r="E24" s="86"/>
      <c r="F24" s="848">
        <f>C24</f>
        <v>2432</v>
      </c>
      <c r="G24" s="37">
        <f>D24</f>
        <v>456</v>
      </c>
    </row>
    <row r="25" spans="1:7" ht="12.75">
      <c r="A25" s="299" t="s">
        <v>112</v>
      </c>
      <c r="B25" s="83">
        <v>45448</v>
      </c>
      <c r="C25" s="83">
        <v>836</v>
      </c>
      <c r="D25" s="37">
        <v>380</v>
      </c>
      <c r="E25" s="86"/>
      <c r="F25" s="18"/>
      <c r="G25" s="37">
        <f>C25+D25</f>
        <v>1216</v>
      </c>
    </row>
    <row r="26" spans="1:7" ht="12.75">
      <c r="A26" s="299" t="s">
        <v>113</v>
      </c>
      <c r="B26" s="83">
        <v>38684</v>
      </c>
      <c r="C26" s="83">
        <v>152</v>
      </c>
      <c r="D26" s="37">
        <v>76</v>
      </c>
      <c r="E26" s="86"/>
      <c r="F26" s="848">
        <f aca="true" t="shared" si="0" ref="F26:G30">C26</f>
        <v>152</v>
      </c>
      <c r="G26" s="37">
        <f t="shared" si="0"/>
        <v>76</v>
      </c>
    </row>
    <row r="27" spans="1:7" ht="12.75">
      <c r="A27" s="299" t="s">
        <v>114</v>
      </c>
      <c r="B27" s="83">
        <v>39596</v>
      </c>
      <c r="C27" s="83">
        <v>380</v>
      </c>
      <c r="D27" s="37">
        <v>228</v>
      </c>
      <c r="E27" s="86"/>
      <c r="F27" s="848">
        <f t="shared" si="0"/>
        <v>380</v>
      </c>
      <c r="G27" s="37">
        <f t="shared" si="0"/>
        <v>228</v>
      </c>
    </row>
    <row r="28" spans="1:7" ht="12.75">
      <c r="A28" s="299" t="s">
        <v>115</v>
      </c>
      <c r="B28" s="83">
        <v>5852</v>
      </c>
      <c r="C28" s="83">
        <v>76</v>
      </c>
      <c r="D28" s="37">
        <v>76</v>
      </c>
      <c r="E28" s="86"/>
      <c r="F28" s="848">
        <f t="shared" si="0"/>
        <v>76</v>
      </c>
      <c r="G28" s="37">
        <f t="shared" si="0"/>
        <v>76</v>
      </c>
    </row>
    <row r="29" spans="1:7" ht="12.75">
      <c r="A29" s="299" t="s">
        <v>327</v>
      </c>
      <c r="B29" s="83">
        <v>114152</v>
      </c>
      <c r="C29" s="83">
        <v>3724</v>
      </c>
      <c r="D29" s="37">
        <v>2204</v>
      </c>
      <c r="E29" s="86"/>
      <c r="F29" s="848">
        <f t="shared" si="0"/>
        <v>3724</v>
      </c>
      <c r="G29" s="37">
        <f t="shared" si="0"/>
        <v>2204</v>
      </c>
    </row>
    <row r="30" spans="1:7" ht="12.75">
      <c r="A30" s="299" t="s">
        <v>116</v>
      </c>
      <c r="B30" s="83">
        <v>386004</v>
      </c>
      <c r="C30" s="83">
        <v>1900</v>
      </c>
      <c r="D30" s="37">
        <v>1064</v>
      </c>
      <c r="E30" s="86"/>
      <c r="F30" s="848">
        <f t="shared" si="0"/>
        <v>1900</v>
      </c>
      <c r="G30" s="37">
        <f t="shared" si="0"/>
        <v>1064</v>
      </c>
    </row>
    <row r="31" spans="1:9" ht="12.75">
      <c r="A31" s="299" t="s">
        <v>117</v>
      </c>
      <c r="B31" s="83">
        <v>51756</v>
      </c>
      <c r="C31" s="83">
        <v>1444</v>
      </c>
      <c r="D31" s="37">
        <v>760</v>
      </c>
      <c r="E31" s="86"/>
      <c r="F31" s="18"/>
      <c r="G31" s="37">
        <f>C31+D31</f>
        <v>2204</v>
      </c>
      <c r="H31" s="302"/>
      <c r="I31" s="302"/>
    </row>
    <row r="32" spans="1:7" ht="12.75">
      <c r="A32" s="299" t="s">
        <v>118</v>
      </c>
      <c r="B32" s="83">
        <v>733248</v>
      </c>
      <c r="C32" s="83">
        <v>19228</v>
      </c>
      <c r="D32" s="37">
        <v>5016</v>
      </c>
      <c r="E32" s="86"/>
      <c r="F32" s="18"/>
      <c r="G32" s="37">
        <f>C32+D32</f>
        <v>24244</v>
      </c>
    </row>
    <row r="33" spans="1:7" ht="12.75">
      <c r="A33" s="299" t="s">
        <v>119</v>
      </c>
      <c r="B33" s="83">
        <v>65360</v>
      </c>
      <c r="C33" s="83">
        <v>2204</v>
      </c>
      <c r="D33" s="37">
        <v>1064</v>
      </c>
      <c r="E33" s="86"/>
      <c r="F33" s="18"/>
      <c r="G33" s="37">
        <f>C33+D33</f>
        <v>3268</v>
      </c>
    </row>
    <row r="34" spans="1:7" ht="12.75">
      <c r="A34" s="299" t="s">
        <v>120</v>
      </c>
      <c r="B34" s="83">
        <v>17556</v>
      </c>
      <c r="C34" s="83"/>
      <c r="D34" s="37"/>
      <c r="E34" s="86"/>
      <c r="F34" s="18"/>
      <c r="G34" s="37"/>
    </row>
    <row r="35" spans="1:7" ht="12.75">
      <c r="A35" s="299" t="s">
        <v>121</v>
      </c>
      <c r="B35" s="83">
        <v>83752</v>
      </c>
      <c r="C35" s="83">
        <v>3420</v>
      </c>
      <c r="D35" s="37">
        <v>1140</v>
      </c>
      <c r="E35" s="86"/>
      <c r="F35" s="848">
        <f>C35</f>
        <v>3420</v>
      </c>
      <c r="G35" s="37">
        <f>D35</f>
        <v>1140</v>
      </c>
    </row>
    <row r="36" spans="1:7" ht="12.75">
      <c r="A36" s="299" t="s">
        <v>122</v>
      </c>
      <c r="B36" s="83">
        <v>589988</v>
      </c>
      <c r="C36" s="83">
        <v>1824</v>
      </c>
      <c r="D36" s="37">
        <v>532</v>
      </c>
      <c r="E36" s="86"/>
      <c r="F36" s="18"/>
      <c r="G36" s="37">
        <f>C36+D36</f>
        <v>2356</v>
      </c>
    </row>
    <row r="37" spans="1:7" ht="12.75">
      <c r="A37" s="299" t="s">
        <v>123</v>
      </c>
      <c r="B37" s="83">
        <v>211052</v>
      </c>
      <c r="C37" s="83"/>
      <c r="D37" s="37"/>
      <c r="E37" s="86"/>
      <c r="F37" s="18"/>
      <c r="G37" s="37"/>
    </row>
    <row r="38" spans="1:7" ht="12.75">
      <c r="A38" s="299" t="s">
        <v>325</v>
      </c>
      <c r="B38" s="83">
        <v>55480</v>
      </c>
      <c r="C38" s="83">
        <v>1216</v>
      </c>
      <c r="D38" s="37">
        <v>380</v>
      </c>
      <c r="E38" s="86"/>
      <c r="F38" s="18"/>
      <c r="G38" s="37">
        <f>C38+D38</f>
        <v>1596</v>
      </c>
    </row>
    <row r="39" spans="1:7" ht="12.75">
      <c r="A39" s="299" t="s">
        <v>124</v>
      </c>
      <c r="B39" s="83">
        <v>39900</v>
      </c>
      <c r="C39" s="83"/>
      <c r="D39" s="37"/>
      <c r="E39" s="86"/>
      <c r="F39" s="18"/>
      <c r="G39" s="37"/>
    </row>
    <row r="40" spans="1:7" ht="12.75">
      <c r="A40" s="299" t="s">
        <v>125</v>
      </c>
      <c r="B40" s="83">
        <v>64524</v>
      </c>
      <c r="C40" s="83">
        <v>2736</v>
      </c>
      <c r="D40" s="37">
        <v>608</v>
      </c>
      <c r="E40" s="86"/>
      <c r="F40" s="848">
        <f>C40</f>
        <v>2736</v>
      </c>
      <c r="G40" s="37">
        <f>D40</f>
        <v>608</v>
      </c>
    </row>
    <row r="41" spans="1:7" ht="12.75">
      <c r="A41" s="299" t="s">
        <v>126</v>
      </c>
      <c r="B41" s="83">
        <v>8740</v>
      </c>
      <c r="C41" s="83">
        <v>76</v>
      </c>
      <c r="D41" s="37">
        <v>76</v>
      </c>
      <c r="E41" s="86"/>
      <c r="F41" s="848"/>
      <c r="G41" s="37">
        <f>C41+D41</f>
        <v>152</v>
      </c>
    </row>
    <row r="42" spans="1:7" ht="12.75">
      <c r="A42" s="299" t="s">
        <v>127</v>
      </c>
      <c r="B42" s="83">
        <v>12236</v>
      </c>
      <c r="C42" s="83">
        <v>1900</v>
      </c>
      <c r="D42" s="37">
        <v>456</v>
      </c>
      <c r="E42" s="86"/>
      <c r="F42" s="18"/>
      <c r="G42" s="37">
        <f>C42+D42</f>
        <v>2356</v>
      </c>
    </row>
    <row r="43" spans="1:7" ht="12.75">
      <c r="A43" s="299" t="s">
        <v>128</v>
      </c>
      <c r="B43" s="83">
        <v>65208</v>
      </c>
      <c r="C43" s="83">
        <v>2432</v>
      </c>
      <c r="D43" s="37">
        <v>836</v>
      </c>
      <c r="E43" s="86"/>
      <c r="F43" s="18"/>
      <c r="G43" s="37">
        <f>C43+D43</f>
        <v>3268</v>
      </c>
    </row>
    <row r="44" spans="1:7" ht="12.75">
      <c r="A44" s="299" t="s">
        <v>129</v>
      </c>
      <c r="B44" s="83">
        <v>238260</v>
      </c>
      <c r="C44" s="83">
        <v>9804</v>
      </c>
      <c r="D44" s="37">
        <v>1976</v>
      </c>
      <c r="E44" s="86"/>
      <c r="F44" s="848">
        <f>C44</f>
        <v>9804</v>
      </c>
      <c r="G44" s="37">
        <f>D44</f>
        <v>1976</v>
      </c>
    </row>
    <row r="45" spans="1:7" ht="12.75">
      <c r="A45" s="299" t="s">
        <v>130</v>
      </c>
      <c r="B45" s="83">
        <v>72200</v>
      </c>
      <c r="C45" s="83">
        <v>4484</v>
      </c>
      <c r="D45" s="37">
        <v>1900</v>
      </c>
      <c r="E45" s="86"/>
      <c r="F45" s="18"/>
      <c r="G45" s="37">
        <f>C45+D45</f>
        <v>6384</v>
      </c>
    </row>
    <row r="46" spans="1:7" ht="12.75">
      <c r="A46" s="299" t="s">
        <v>131</v>
      </c>
      <c r="B46" s="83">
        <v>10336</v>
      </c>
      <c r="C46" s="83"/>
      <c r="D46" s="37"/>
      <c r="E46" s="86"/>
      <c r="F46" s="18"/>
      <c r="G46" s="37"/>
    </row>
    <row r="47" spans="1:7" ht="12.75">
      <c r="A47" s="299" t="s">
        <v>132</v>
      </c>
      <c r="B47" s="83">
        <v>49552</v>
      </c>
      <c r="C47" s="83">
        <v>912</v>
      </c>
      <c r="D47" s="37">
        <v>456</v>
      </c>
      <c r="E47" s="86"/>
      <c r="F47" s="848">
        <f>C47</f>
        <v>912</v>
      </c>
      <c r="G47" s="37">
        <f>D47</f>
        <v>456</v>
      </c>
    </row>
    <row r="48" spans="1:7" ht="13.5" thickBot="1">
      <c r="A48" s="300" t="s">
        <v>133</v>
      </c>
      <c r="B48" s="84">
        <v>82840</v>
      </c>
      <c r="C48" s="84">
        <v>2432</v>
      </c>
      <c r="D48" s="95">
        <v>1520</v>
      </c>
      <c r="E48" s="86"/>
      <c r="F48" s="849">
        <f>C48</f>
        <v>2432</v>
      </c>
      <c r="G48" s="95">
        <f>D48</f>
        <v>1520</v>
      </c>
    </row>
    <row r="49" spans="1:7" ht="14.25" thickBot="1" thickTop="1">
      <c r="A49" s="32" t="s">
        <v>141</v>
      </c>
      <c r="B49" s="851">
        <f>SUM(B9:B48)</f>
        <v>7515564</v>
      </c>
      <c r="C49" s="851">
        <v>95152</v>
      </c>
      <c r="D49" s="852">
        <v>42788</v>
      </c>
      <c r="E49" s="86"/>
      <c r="F49" s="921">
        <f>SUM(F9:F48)</f>
        <v>52516</v>
      </c>
      <c r="G49" s="852">
        <f>SUM(G9:G48)</f>
        <v>85424</v>
      </c>
    </row>
    <row r="50" spans="1:7" ht="14.25" thickBot="1" thickTop="1">
      <c r="A50" s="45" t="s">
        <v>326</v>
      </c>
      <c r="B50" s="853">
        <v>9150199.17</v>
      </c>
      <c r="C50" s="853">
        <v>115847.56</v>
      </c>
      <c r="D50" s="854">
        <v>52094.39</v>
      </c>
      <c r="E50" s="86"/>
      <c r="F50" s="922">
        <f>F49/(F49+G49)</f>
        <v>0.38071625344352616</v>
      </c>
      <c r="G50" s="923">
        <f>G49/(F49+G49)</f>
        <v>0.6192837465564738</v>
      </c>
    </row>
    <row r="51" spans="1:4" ht="14.25" thickBot="1" thickTop="1">
      <c r="A51" s="26"/>
      <c r="B51" s="294"/>
      <c r="C51" s="294"/>
      <c r="D51" s="294"/>
    </row>
    <row r="52" spans="1:4" ht="14.25" thickBot="1" thickTop="1">
      <c r="A52" s="22"/>
      <c r="B52" s="295"/>
      <c r="C52" s="218"/>
      <c r="D52" s="293"/>
    </row>
    <row r="53" spans="1:4" ht="13.5" thickTop="1">
      <c r="A53" s="18" t="s">
        <v>138</v>
      </c>
      <c r="B53" s="96">
        <f>C49+D49</f>
        <v>137940</v>
      </c>
      <c r="C53" s="304"/>
      <c r="D53" s="37"/>
    </row>
    <row r="54" spans="1:4" ht="12.75">
      <c r="A54" s="18" t="s">
        <v>139</v>
      </c>
      <c r="B54" s="96">
        <f>C50+D50</f>
        <v>167941.95</v>
      </c>
      <c r="C54" s="83"/>
      <c r="D54" s="37"/>
    </row>
    <row r="55" spans="1:4" ht="13.5" thickBot="1">
      <c r="A55" s="18"/>
      <c r="B55" s="39"/>
      <c r="C55" s="19"/>
      <c r="D55" s="27"/>
    </row>
    <row r="56" spans="1:6" ht="14.25" thickBot="1" thickTop="1">
      <c r="A56" s="298" t="s">
        <v>134</v>
      </c>
      <c r="B56" s="297">
        <f>B54/B50</f>
        <v>0.018353911961896674</v>
      </c>
      <c r="C56" s="301"/>
      <c r="D56" s="31"/>
      <c r="F56" s="11"/>
    </row>
    <row r="57" spans="1:4" ht="14.25" thickBot="1" thickTop="1">
      <c r="A57" s="298" t="s">
        <v>397</v>
      </c>
      <c r="B57" s="470">
        <v>0.15</v>
      </c>
      <c r="C57" s="471"/>
      <c r="D57" s="31"/>
    </row>
    <row r="58" spans="1:4" ht="14.25" thickBot="1" thickTop="1">
      <c r="A58" s="62"/>
      <c r="B58" s="457"/>
      <c r="C58" s="458"/>
      <c r="D58" s="62"/>
    </row>
    <row r="59" spans="1:4" ht="14.25" thickBot="1" thickTop="1">
      <c r="A59" s="265" t="s">
        <v>387</v>
      </c>
      <c r="B59" s="468" t="s">
        <v>398</v>
      </c>
      <c r="C59" s="469" t="s">
        <v>30</v>
      </c>
      <c r="D59" s="62"/>
    </row>
    <row r="60" spans="1:4" ht="14.25" thickBot="1" thickTop="1">
      <c r="A60" s="466">
        <f>B56*'Exploitatie MFC'!E60</f>
        <v>185620.7035772952</v>
      </c>
      <c r="B60" s="467">
        <f>A60*B57</f>
        <v>27843.10553659428</v>
      </c>
      <c r="C60" s="465">
        <f>A60+B60</f>
        <v>213463.8091138895</v>
      </c>
      <c r="D60" s="62"/>
    </row>
    <row r="61" spans="2:3" ht="14.25" thickBot="1" thickTop="1">
      <c r="B61" s="26"/>
      <c r="C61" s="26"/>
    </row>
    <row r="62" spans="1:7" ht="14.25" thickBot="1" thickTop="1">
      <c r="A62" s="44" t="s">
        <v>396</v>
      </c>
      <c r="B62" s="316" t="s">
        <v>224</v>
      </c>
      <c r="C62" s="318" t="s">
        <v>356</v>
      </c>
      <c r="F62" s="265" t="s">
        <v>686</v>
      </c>
      <c r="G62" s="268" t="s">
        <v>656</v>
      </c>
    </row>
    <row r="63" spans="1:8" ht="13.5" thickTop="1">
      <c r="A63" s="13" t="s">
        <v>367</v>
      </c>
      <c r="B63" s="459">
        <f>Oppervlaktes!$E$8</f>
        <v>0.13306889719019005</v>
      </c>
      <c r="C63" s="240">
        <f>B63*$C$60</f>
        <v>28405.393668802513</v>
      </c>
      <c r="F63" s="881">
        <f>C63*$F$50</f>
        <v>10814.395055174951</v>
      </c>
      <c r="G63" s="77">
        <f>C63*$G$50</f>
        <v>17590.998613627562</v>
      </c>
      <c r="H63" s="100"/>
    </row>
    <row r="64" spans="1:8" ht="12.75">
      <c r="A64" s="18" t="s">
        <v>70</v>
      </c>
      <c r="B64" s="459">
        <f>Oppervlaktes!$E$9</f>
        <v>0.2697109631313952</v>
      </c>
      <c r="C64" s="240">
        <f aca="true" t="shared" si="1" ref="C64:C71">B64*$C$60</f>
        <v>57573.52954980343</v>
      </c>
      <c r="F64" s="848">
        <f>C64*$F$50</f>
        <v>21919.178467721307</v>
      </c>
      <c r="G64" s="57">
        <f>C64*$G$50</f>
        <v>35654.351082082125</v>
      </c>
      <c r="H64" s="100"/>
    </row>
    <row r="65" spans="1:8" ht="13.5" thickBot="1">
      <c r="A65" s="18" t="s">
        <v>71</v>
      </c>
      <c r="B65" s="459">
        <f>Oppervlaktes!$E$10</f>
        <v>0.11224693844404744</v>
      </c>
      <c r="C65" s="240">
        <f t="shared" si="1"/>
        <v>23960.659041638646</v>
      </c>
      <c r="F65" s="849">
        <f>C65*$F$50</f>
        <v>9122.212340370415</v>
      </c>
      <c r="G65" s="60">
        <f>C65*$G$50</f>
        <v>14838.446701268229</v>
      </c>
      <c r="H65" s="100"/>
    </row>
    <row r="66" spans="1:3" ht="13.5" thickTop="1">
      <c r="A66" s="18" t="s">
        <v>88</v>
      </c>
      <c r="B66" s="459">
        <f>Oppervlaktes!$E$11</f>
        <v>0.14178983271073578</v>
      </c>
      <c r="C66" s="240">
        <f t="shared" si="1"/>
        <v>30266.997784054827</v>
      </c>
    </row>
    <row r="67" spans="1:3" ht="12.75">
      <c r="A67" s="18" t="s">
        <v>694</v>
      </c>
      <c r="B67" s="459">
        <f>Oppervlaktes!$E$13</f>
        <v>0.011369173298684426</v>
      </c>
      <c r="C67" s="240">
        <f t="shared" si="1"/>
        <v>2426.9070388131017</v>
      </c>
    </row>
    <row r="68" spans="1:3" ht="12.75">
      <c r="A68" s="18" t="s">
        <v>72</v>
      </c>
      <c r="B68" s="459">
        <f>Oppervlaktes!$E$14</f>
        <v>0.030371934383628396</v>
      </c>
      <c r="C68" s="240">
        <f t="shared" si="1"/>
        <v>6483.308803686429</v>
      </c>
    </row>
    <row r="69" spans="1:3" ht="12.75">
      <c r="A69" s="18" t="s">
        <v>73</v>
      </c>
      <c r="B69" s="459">
        <f>Oppervlaktes!$E$15</f>
        <v>0.09257755400357319</v>
      </c>
      <c r="C69" s="240">
        <f t="shared" si="1"/>
        <v>19761.957316049542</v>
      </c>
    </row>
    <row r="70" spans="1:3" ht="12.75">
      <c r="A70" s="18" t="s">
        <v>275</v>
      </c>
      <c r="B70" s="459">
        <f>Oppervlaktes!$E$16</f>
        <v>0.01250609062855287</v>
      </c>
      <c r="C70" s="240">
        <f t="shared" si="1"/>
        <v>2669.5977426944123</v>
      </c>
    </row>
    <row r="71" spans="1:3" ht="13.5" thickBot="1">
      <c r="A71" s="14" t="s">
        <v>386</v>
      </c>
      <c r="B71" s="242">
        <f>Oppervlaktes!$E$17+Oppervlaktes!$E$19</f>
        <v>0.19635861620919284</v>
      </c>
      <c r="C71" s="240">
        <f t="shared" si="1"/>
        <v>41915.45816834663</v>
      </c>
    </row>
    <row r="72" spans="1:3" ht="14.25" thickBot="1" thickTop="1">
      <c r="A72" s="22"/>
      <c r="B72" s="460">
        <f>SUM(B63:B71)</f>
        <v>1.0000000000000002</v>
      </c>
      <c r="C72" s="249">
        <f>SUM(C63:C71)</f>
        <v>213463.80911388955</v>
      </c>
    </row>
    <row r="73" ht="13.5" thickTop="1"/>
  </sheetData>
  <sheetProtection/>
  <printOptions/>
  <pageMargins left="0.75" right="0.52" top="0.61" bottom="1" header="0.32" footer="0.5"/>
  <pageSetup fitToHeight="1" fitToWidth="1" horizontalDpi="300" verticalDpi="300" orientation="portrait" paperSize="9" scale="69" r:id="rId1"/>
  <headerFooter alignWithMargins="0">
    <oddFooter>&amp;LConceptversie - 20 juni 2007 (Alleen te gebruiken voor interne doeleinden)&amp;RTabblad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J43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42.7109375" style="0" bestFit="1" customWidth="1"/>
    <col min="2" max="2" width="5.57421875" style="0" bestFit="1" customWidth="1"/>
    <col min="3" max="3" width="10.421875" style="0" bestFit="1" customWidth="1"/>
    <col min="4" max="4" width="10.28125" style="0" bestFit="1" customWidth="1"/>
    <col min="5" max="5" width="11.00390625" style="0" bestFit="1" customWidth="1"/>
    <col min="6" max="6" width="11.8515625" style="0" bestFit="1" customWidth="1"/>
    <col min="7" max="7" width="12.57421875" style="0" bestFit="1" customWidth="1"/>
    <col min="8" max="8" width="9.28125" style="0" bestFit="1" customWidth="1"/>
    <col min="9" max="9" width="11.28125" style="0" customWidth="1"/>
    <col min="10" max="10" width="13.8515625" style="0" bestFit="1" customWidth="1"/>
  </cols>
  <sheetData>
    <row r="1" spans="1:10" ht="21" thickTop="1">
      <c r="A1" s="4" t="s">
        <v>82</v>
      </c>
      <c r="I1" s="911" t="s">
        <v>84</v>
      </c>
      <c r="J1" s="920"/>
    </row>
    <row r="2" spans="9:10" ht="13.5" thickBot="1">
      <c r="I2" s="913" t="s">
        <v>355</v>
      </c>
      <c r="J2" s="462"/>
    </row>
    <row r="3" ht="13.5" thickTop="1"/>
    <row r="4" ht="13.5" thickBot="1">
      <c r="A4" s="11"/>
    </row>
    <row r="5" spans="1:10" ht="13.5" thickTop="1">
      <c r="A5" s="250" t="s">
        <v>51</v>
      </c>
      <c r="B5" s="251" t="s">
        <v>77</v>
      </c>
      <c r="C5" s="252" t="s">
        <v>93</v>
      </c>
      <c r="D5" s="251" t="s">
        <v>30</v>
      </c>
      <c r="E5" s="251" t="s">
        <v>249</v>
      </c>
      <c r="F5" s="251" t="s">
        <v>317</v>
      </c>
      <c r="G5" s="282" t="s">
        <v>253</v>
      </c>
      <c r="H5" s="251" t="s">
        <v>314</v>
      </c>
      <c r="I5" s="251" t="s">
        <v>317</v>
      </c>
      <c r="J5" s="253" t="s">
        <v>252</v>
      </c>
    </row>
    <row r="6" spans="1:10" ht="13.5" thickBot="1">
      <c r="A6" s="257"/>
      <c r="B6" s="272"/>
      <c r="C6" s="273"/>
      <c r="D6" s="279"/>
      <c r="E6" s="279"/>
      <c r="F6" s="281" t="s">
        <v>251</v>
      </c>
      <c r="G6" s="281" t="s">
        <v>316</v>
      </c>
      <c r="H6" s="272" t="s">
        <v>315</v>
      </c>
      <c r="I6" s="281" t="s">
        <v>251</v>
      </c>
      <c r="J6" s="278" t="s">
        <v>248</v>
      </c>
    </row>
    <row r="7" spans="1:10" ht="13.5" thickTop="1">
      <c r="A7" s="18" t="s">
        <v>69</v>
      </c>
      <c r="B7" s="222">
        <f>Oppervlaktes!B8</f>
        <v>765.7057943925233</v>
      </c>
      <c r="C7" s="79">
        <f>D30</f>
        <v>16.108612896976823</v>
      </c>
      <c r="D7" s="219">
        <f>B7*C7</f>
        <v>12334.458234841284</v>
      </c>
      <c r="E7" s="219">
        <f>D7</f>
        <v>12334.458234841284</v>
      </c>
      <c r="F7" s="219">
        <f>Oppervlaktes!E8*(D18+D19)</f>
        <v>3191.9124441901095</v>
      </c>
      <c r="G7" s="455">
        <f>SUM(E7:F7)</f>
        <v>15526.370679031394</v>
      </c>
      <c r="H7" s="15"/>
      <c r="I7" s="15"/>
      <c r="J7" s="8"/>
    </row>
    <row r="8" spans="1:10" ht="12.75">
      <c r="A8" s="18" t="s">
        <v>320</v>
      </c>
      <c r="B8" s="223">
        <f>Oppervlaktes!B9</f>
        <v>1551.972336448598</v>
      </c>
      <c r="C8" s="80">
        <f>D30</f>
        <v>16.108612896976823</v>
      </c>
      <c r="D8" s="98">
        <f aca="true" t="shared" si="0" ref="D8:D19">B8*C8</f>
        <v>25000.12159466714</v>
      </c>
      <c r="E8" s="98">
        <f>D8</f>
        <v>25000.12159466714</v>
      </c>
      <c r="F8" s="280">
        <f>Oppervlaktes!E9*(D18+D19)</f>
        <v>6469.534186663915</v>
      </c>
      <c r="G8" s="404">
        <f>SUM(E8:F8)</f>
        <v>31469.655781331054</v>
      </c>
      <c r="H8" s="19"/>
      <c r="I8" s="19"/>
      <c r="J8" s="27"/>
    </row>
    <row r="9" spans="1:10" ht="12.75">
      <c r="A9" s="18" t="s">
        <v>71</v>
      </c>
      <c r="B9" s="223">
        <f>Oppervlaktes!B10</f>
        <v>645.8919626168224</v>
      </c>
      <c r="C9" s="80">
        <f>D30</f>
        <v>16.108612896976823</v>
      </c>
      <c r="D9" s="98">
        <f t="shared" si="0"/>
        <v>10404.423599063017</v>
      </c>
      <c r="E9" s="98">
        <f>D9</f>
        <v>10404.423599063017</v>
      </c>
      <c r="F9" s="280">
        <f>Oppervlaktes!E10*(D18+D19)</f>
        <v>2692.4578711260947</v>
      </c>
      <c r="G9" s="404">
        <f>SUM(E9:F9)</f>
        <v>13096.881470189111</v>
      </c>
      <c r="H9" s="19"/>
      <c r="I9" s="19"/>
      <c r="J9" s="27"/>
    </row>
    <row r="10" spans="1:10" ht="12.75">
      <c r="A10" s="18" t="s">
        <v>88</v>
      </c>
      <c r="B10" s="223">
        <f>Oppervlaktes!B11</f>
        <v>815.8878504672897</v>
      </c>
      <c r="C10" s="80" t="s">
        <v>66</v>
      </c>
      <c r="D10" s="98"/>
      <c r="E10" s="98"/>
      <c r="F10" s="280"/>
      <c r="G10" s="98"/>
      <c r="H10" s="83"/>
      <c r="I10" s="83">
        <f>Oppervlaktes!E11*(D18+D19)</f>
        <v>3401.1007909848076</v>
      </c>
      <c r="J10" s="456">
        <f>SUM(H10:I10)</f>
        <v>3401.1007909848076</v>
      </c>
    </row>
    <row r="11" spans="1:10" ht="12.75">
      <c r="A11" s="18" t="s">
        <v>694</v>
      </c>
      <c r="B11" s="223">
        <f>Oppervlaktes!B13</f>
        <v>65.42056074766354</v>
      </c>
      <c r="C11" s="80" t="s">
        <v>66</v>
      </c>
      <c r="D11" s="98"/>
      <c r="E11" s="98"/>
      <c r="F11" s="39"/>
      <c r="G11" s="98"/>
      <c r="H11" s="83"/>
      <c r="I11" s="83">
        <f>Oppervlaktes!E13*(D18+D19)</f>
        <v>272.71140362993873</v>
      </c>
      <c r="J11" s="456">
        <f>SUM(H11:I11)</f>
        <v>272.71140362993873</v>
      </c>
    </row>
    <row r="12" spans="1:10" ht="12.75">
      <c r="A12" s="18" t="s">
        <v>72</v>
      </c>
      <c r="B12" s="223">
        <f>Oppervlaktes!B14</f>
        <v>174.7663551401869</v>
      </c>
      <c r="C12" s="80" t="s">
        <v>66</v>
      </c>
      <c r="D12" s="98"/>
      <c r="E12" s="98"/>
      <c r="F12" s="39"/>
      <c r="G12" s="98"/>
      <c r="H12" s="83"/>
      <c r="I12" s="83">
        <f>Oppervlaktes!E14*($D$18+$D$19)</f>
        <v>728.5290354114078</v>
      </c>
      <c r="J12" s="456">
        <f>SUM(H12:I12)</f>
        <v>728.5290354114078</v>
      </c>
    </row>
    <row r="13" spans="1:10" ht="12.75">
      <c r="A13" s="18" t="s">
        <v>275</v>
      </c>
      <c r="B13" s="223">
        <f>Oppervlaktes!B16</f>
        <v>71.96261682242991</v>
      </c>
      <c r="C13" s="80">
        <v>20</v>
      </c>
      <c r="D13" s="98">
        <f t="shared" si="0"/>
        <v>1439.2523364485983</v>
      </c>
      <c r="E13" s="98"/>
      <c r="F13" s="39"/>
      <c r="G13" s="98"/>
      <c r="H13" s="83">
        <f>D13</f>
        <v>1439.2523364485983</v>
      </c>
      <c r="I13" s="83">
        <f>Oppervlaktes!E16*($D$18+$D$19)</f>
        <v>299.9825439929326</v>
      </c>
      <c r="J13" s="456">
        <f>SUM(H13:I13)</f>
        <v>1739.234880441531</v>
      </c>
    </row>
    <row r="14" spans="1:10" ht="12.75">
      <c r="A14" s="18" t="s">
        <v>73</v>
      </c>
      <c r="B14" s="223">
        <f>Oppervlaktes!B15</f>
        <v>532.7102803738318</v>
      </c>
      <c r="C14" s="80">
        <v>20</v>
      </c>
      <c r="D14" s="98">
        <f t="shared" si="0"/>
        <v>10654.205607476635</v>
      </c>
      <c r="E14" s="98"/>
      <c r="F14" s="39"/>
      <c r="G14" s="98"/>
      <c r="H14" s="83">
        <f>D14</f>
        <v>10654.205607476635</v>
      </c>
      <c r="I14" s="83">
        <f>Oppervlaktes!E15*(D18+D19)</f>
        <v>2220.650000986644</v>
      </c>
      <c r="J14" s="456">
        <f>SUM(H14:I14)</f>
        <v>12874.85560846328</v>
      </c>
    </row>
    <row r="15" spans="1:10" ht="12.75">
      <c r="A15" s="18" t="s">
        <v>75</v>
      </c>
      <c r="B15" s="223">
        <f>Oppervlaktes!B17</f>
        <v>73.83177570093457</v>
      </c>
      <c r="C15" s="80">
        <v>20</v>
      </c>
      <c r="D15" s="98">
        <f t="shared" si="0"/>
        <v>1476.6355140186915</v>
      </c>
      <c r="E15" s="98">
        <f>D15</f>
        <v>1476.6355140186915</v>
      </c>
      <c r="F15" s="280">
        <f>Oppervlaktes!E17*(D18+D19)</f>
        <v>307.7742983823594</v>
      </c>
      <c r="G15" s="404">
        <f>SUM(E15:F15)</f>
        <v>1784.4098124010509</v>
      </c>
      <c r="H15" s="19"/>
      <c r="I15" s="19"/>
      <c r="J15" s="27"/>
    </row>
    <row r="16" spans="1:10" ht="12.75">
      <c r="A16" s="18" t="s">
        <v>89</v>
      </c>
      <c r="B16" s="223">
        <f>Oppervlaktes!B18</f>
        <v>285.9813084112149</v>
      </c>
      <c r="C16" s="80">
        <v>20</v>
      </c>
      <c r="D16" s="98">
        <f t="shared" si="0"/>
        <v>5719.626168224298</v>
      </c>
      <c r="E16" s="98">
        <f>D16</f>
        <v>5719.626168224298</v>
      </c>
      <c r="F16" s="280">
        <f>Oppervlaktes!E18*(D18+D19)</f>
        <v>0</v>
      </c>
      <c r="G16" s="404">
        <f>SUM(E16:F16)</f>
        <v>5719.626168224298</v>
      </c>
      <c r="H16" s="19"/>
      <c r="I16" s="19"/>
      <c r="J16" s="27"/>
    </row>
    <row r="17" spans="1:10" ht="12.75">
      <c r="A17" s="18" t="s">
        <v>76</v>
      </c>
      <c r="B17" s="223">
        <f>Oppervlaktes!B19</f>
        <v>1056.056074766355</v>
      </c>
      <c r="C17" s="80">
        <v>24</v>
      </c>
      <c r="D17" s="98">
        <f t="shared" si="0"/>
        <v>25345.345794392524</v>
      </c>
      <c r="E17" s="98">
        <f>D17</f>
        <v>25345.345794392524</v>
      </c>
      <c r="F17" s="96">
        <f>Oppervlaktes!E19*(D18+D19)</f>
        <v>4402.26331248226</v>
      </c>
      <c r="G17" s="404">
        <f>SUM(E17:F17)</f>
        <v>29747.609106874785</v>
      </c>
      <c r="H17" s="19"/>
      <c r="I17" s="19"/>
      <c r="J17" s="27"/>
    </row>
    <row r="18" spans="1:10" ht="12.75">
      <c r="A18" s="18" t="s">
        <v>90</v>
      </c>
      <c r="B18" s="223">
        <f>Oppervlaktes!B21</f>
        <v>225.23364485981307</v>
      </c>
      <c r="C18" s="80">
        <v>2</v>
      </c>
      <c r="D18" s="98">
        <f t="shared" si="0"/>
        <v>450.46728971962614</v>
      </c>
      <c r="E18" s="98"/>
      <c r="F18" s="280"/>
      <c r="G18" s="19"/>
      <c r="H18" s="19"/>
      <c r="I18" s="19"/>
      <c r="J18" s="27"/>
    </row>
    <row r="19" spans="1:10" ht="12.75">
      <c r="A19" s="18" t="s">
        <v>91</v>
      </c>
      <c r="B19" s="223">
        <f>Oppervlaktes!B22</f>
        <v>735.5140186915887</v>
      </c>
      <c r="C19" s="80">
        <v>32</v>
      </c>
      <c r="D19" s="98">
        <f t="shared" si="0"/>
        <v>23536.44859813084</v>
      </c>
      <c r="E19" s="98"/>
      <c r="F19" s="39"/>
      <c r="G19" s="19"/>
      <c r="H19" s="19"/>
      <c r="I19" s="19"/>
      <c r="J19" s="27"/>
    </row>
    <row r="20" spans="1:10" ht="12.75">
      <c r="A20" s="18"/>
      <c r="B20" s="223"/>
      <c r="C20" s="80"/>
      <c r="D20" s="98"/>
      <c r="E20" s="98"/>
      <c r="F20" s="39"/>
      <c r="G20" s="19"/>
      <c r="H20" s="19"/>
      <c r="I20" s="19"/>
      <c r="J20" s="27"/>
    </row>
    <row r="21" spans="1:10" ht="12.75">
      <c r="A21" s="18" t="s">
        <v>74</v>
      </c>
      <c r="B21" s="223">
        <f>Oppervlaktes!B24</f>
        <v>549.5327102803737</v>
      </c>
      <c r="C21" s="80">
        <v>15</v>
      </c>
      <c r="D21" s="98"/>
      <c r="E21" s="98"/>
      <c r="F21" s="39"/>
      <c r="G21" s="19"/>
      <c r="H21" s="19"/>
      <c r="I21" s="19"/>
      <c r="J21" s="27"/>
    </row>
    <row r="22" spans="1:10" ht="13.5" thickBot="1">
      <c r="A22" s="14"/>
      <c r="B22" s="243"/>
      <c r="C22" s="78"/>
      <c r="D22" s="99"/>
      <c r="E22" s="99"/>
      <c r="F22" s="25"/>
      <c r="G22" s="16"/>
      <c r="H22" s="16"/>
      <c r="I22" s="16"/>
      <c r="J22" s="9"/>
    </row>
    <row r="23" spans="1:10" ht="14.25" thickBot="1" thickTop="1">
      <c r="A23" s="22" t="s">
        <v>81</v>
      </c>
      <c r="B23" s="277">
        <f>SUM(B7:B19)</f>
        <v>7000.934579439252</v>
      </c>
      <c r="C23" s="81"/>
      <c r="D23" s="40"/>
      <c r="E23" s="40"/>
      <c r="F23" s="30"/>
      <c r="G23" s="40"/>
      <c r="H23" s="40"/>
      <c r="I23" s="40"/>
      <c r="J23" s="29"/>
    </row>
    <row r="24" spans="1:10" ht="14.25" thickBot="1" thickTop="1">
      <c r="A24" s="76" t="s">
        <v>94</v>
      </c>
      <c r="B24" s="40"/>
      <c r="C24" s="81"/>
      <c r="D24" s="220">
        <f>SUM(D7:D23)</f>
        <v>116360.98473698266</v>
      </c>
      <c r="E24" s="670">
        <f>SUM(E7:E23)</f>
        <v>80280.61090520697</v>
      </c>
      <c r="F24" s="671">
        <f>SUM(F7:F23)</f>
        <v>17063.94211284474</v>
      </c>
      <c r="G24" s="283">
        <f>SUM(G7:G23)</f>
        <v>97344.5530180517</v>
      </c>
      <c r="H24" s="670">
        <f>SUM(H14:H23)</f>
        <v>10654.205607476635</v>
      </c>
      <c r="I24" s="670">
        <f>SUM(I10:I23)</f>
        <v>6922.973775005731</v>
      </c>
      <c r="J24" s="38">
        <f>SUM(J10:J23)</f>
        <v>19016.431718930966</v>
      </c>
    </row>
    <row r="25" ht="14.25" thickBot="1" thickTop="1">
      <c r="A25" s="62"/>
    </row>
    <row r="26" spans="1:5" ht="14.25" thickBot="1" thickTop="1">
      <c r="A26" s="265" t="s">
        <v>85</v>
      </c>
      <c r="B26" s="267" t="s">
        <v>77</v>
      </c>
      <c r="C26" s="267" t="s">
        <v>86</v>
      </c>
      <c r="D26" s="268" t="s">
        <v>83</v>
      </c>
      <c r="E26" s="11"/>
    </row>
    <row r="27" spans="1:7" ht="13.5" thickTop="1">
      <c r="A27" s="13" t="s">
        <v>69</v>
      </c>
      <c r="B27" s="222">
        <f>B7</f>
        <v>765.7057943925233</v>
      </c>
      <c r="C27" s="82">
        <f>(27157/(1+19%))*(1+1.56%)</f>
        <v>23177.016134453785</v>
      </c>
      <c r="D27" s="8"/>
      <c r="E27" s="11"/>
      <c r="F27" s="194"/>
      <c r="G27" s="194"/>
    </row>
    <row r="28" spans="1:5" ht="12.75">
      <c r="A28" s="18" t="s">
        <v>70</v>
      </c>
      <c r="B28" s="223">
        <f>B8</f>
        <v>1551.972336448598</v>
      </c>
      <c r="C28" s="83">
        <f>(15372/(1+19%))*(1+1.56%)</f>
        <v>13119.162352941177</v>
      </c>
      <c r="D28" s="27"/>
      <c r="E28" s="11"/>
    </row>
    <row r="29" spans="1:5" ht="13.5" thickBot="1">
      <c r="A29" s="14" t="s">
        <v>71</v>
      </c>
      <c r="B29" s="243">
        <f>B9</f>
        <v>645.8919626168224</v>
      </c>
      <c r="C29" s="84">
        <f>(13407.8/(1+19%))*(1+1.56%)</f>
        <v>11442.82494117647</v>
      </c>
      <c r="D29" s="9"/>
      <c r="E29" s="11"/>
    </row>
    <row r="30" spans="1:5" ht="14.25" thickBot="1" thickTop="1">
      <c r="A30" s="166" t="s">
        <v>87</v>
      </c>
      <c r="B30" s="277">
        <f>SUM(B27:B29)</f>
        <v>2963.5700934579436</v>
      </c>
      <c r="C30" s="220">
        <f>SUM(C27:C29)</f>
        <v>47739.003428571436</v>
      </c>
      <c r="D30" s="249">
        <f>C30/B30</f>
        <v>16.108612896976823</v>
      </c>
      <c r="E30" s="200"/>
    </row>
    <row r="31" ht="14.25" thickBot="1" thickTop="1"/>
    <row r="32" spans="1:3" ht="13.5" thickTop="1">
      <c r="A32" s="44" t="s">
        <v>395</v>
      </c>
      <c r="B32" s="252"/>
      <c r="C32" s="253" t="s">
        <v>356</v>
      </c>
    </row>
    <row r="33" spans="1:3" ht="13.5" thickBot="1">
      <c r="A33" s="45"/>
      <c r="B33" s="461"/>
      <c r="C33" s="462"/>
    </row>
    <row r="34" spans="1:7" ht="13.5" thickTop="1">
      <c r="A34" s="13" t="s">
        <v>722</v>
      </c>
      <c r="B34" s="459"/>
      <c r="C34" s="57">
        <f>G7+((Oppervlaktes!H8*67%)*$D$16)</f>
        <v>16516.493743322095</v>
      </c>
      <c r="D34" s="201" t="s">
        <v>718</v>
      </c>
      <c r="G34" s="11"/>
    </row>
    <row r="35" spans="1:4" ht="12.75">
      <c r="A35" s="18" t="s">
        <v>723</v>
      </c>
      <c r="B35" s="459"/>
      <c r="C35" s="57">
        <f>G8+((Oppervlaktes!H9*67%)*$D$16)</f>
        <v>33476.4887147007</v>
      </c>
      <c r="D35" s="201" t="s">
        <v>719</v>
      </c>
    </row>
    <row r="36" spans="1:3" ht="12.75">
      <c r="A36" s="18" t="s">
        <v>724</v>
      </c>
      <c r="B36" s="459"/>
      <c r="C36" s="57">
        <f>G9+((Oppervlaktes!H10*67%)*$D$16)</f>
        <v>13932.075005239038</v>
      </c>
    </row>
    <row r="37" spans="1:3" ht="12.75">
      <c r="A37" s="18" t="s">
        <v>88</v>
      </c>
      <c r="B37" s="459"/>
      <c r="C37" s="57">
        <f>J10</f>
        <v>3401.1007909848076</v>
      </c>
    </row>
    <row r="38" spans="1:3" ht="12.75">
      <c r="A38" s="18" t="s">
        <v>694</v>
      </c>
      <c r="B38" s="459"/>
      <c r="C38" s="57">
        <f>J11</f>
        <v>272.71140362993873</v>
      </c>
    </row>
    <row r="39" spans="1:3" ht="12.75">
      <c r="A39" s="18" t="s">
        <v>72</v>
      </c>
      <c r="B39" s="459"/>
      <c r="C39" s="57">
        <f>J12</f>
        <v>728.5290354114078</v>
      </c>
    </row>
    <row r="40" spans="1:3" ht="12.75">
      <c r="A40" s="18" t="s">
        <v>73</v>
      </c>
      <c r="B40" s="459"/>
      <c r="C40" s="57">
        <f>J14</f>
        <v>12874.85560846328</v>
      </c>
    </row>
    <row r="41" spans="1:3" ht="12.75">
      <c r="A41" s="18" t="s">
        <v>275</v>
      </c>
      <c r="B41" s="459"/>
      <c r="C41" s="57">
        <f>J13</f>
        <v>1739.234880441531</v>
      </c>
    </row>
    <row r="42" spans="1:3" ht="13.5" thickBot="1">
      <c r="A42" s="14" t="s">
        <v>725</v>
      </c>
      <c r="B42" s="242"/>
      <c r="C42" s="57">
        <f>G15+G17+((33%*$D$16))</f>
        <v>33419.49555478986</v>
      </c>
    </row>
    <row r="43" spans="1:3" ht="14.25" thickBot="1" thickTop="1">
      <c r="A43" s="22"/>
      <c r="B43" s="460"/>
      <c r="C43" s="38">
        <f>SUM(C34:C42)</f>
        <v>116360.98473698266</v>
      </c>
    </row>
    <row r="44" ht="13.5" thickTop="1"/>
  </sheetData>
  <sheetProtection/>
  <printOptions/>
  <pageMargins left="0.63" right="0.69" top="1" bottom="1" header="0.5" footer="0.5"/>
  <pageSetup fitToHeight="1" fitToWidth="1" horizontalDpi="300" verticalDpi="300" orientation="landscape" paperSize="9" scale="81" r:id="rId1"/>
  <headerFooter alignWithMargins="0">
    <oddFooter>&amp;LConceptversie - 20 juni 2007 (Alleen te gebruiken voor interne doeleinden)&amp;RTabblad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F2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4.421875" style="0" customWidth="1"/>
    <col min="2" max="2" width="11.421875" style="0" customWidth="1"/>
    <col min="3" max="3" width="17.7109375" style="0" customWidth="1"/>
    <col min="4" max="4" width="12.421875" style="0" customWidth="1"/>
  </cols>
  <sheetData>
    <row r="1" spans="1:6" ht="21" thickTop="1">
      <c r="A1" s="4" t="s">
        <v>321</v>
      </c>
      <c r="E1" s="911" t="s">
        <v>84</v>
      </c>
      <c r="F1" s="920"/>
    </row>
    <row r="2" spans="5:6" ht="13.5" thickBot="1">
      <c r="E2" s="913" t="s">
        <v>355</v>
      </c>
      <c r="F2" s="462"/>
    </row>
    <row r="3" ht="13.5" thickTop="1"/>
    <row r="4" ht="12.75">
      <c r="A4" s="1" t="s">
        <v>145</v>
      </c>
    </row>
    <row r="5" ht="13.5" thickBot="1"/>
    <row r="6" spans="1:4" ht="14.25" thickBot="1" thickTop="1">
      <c r="A6" s="265" t="s">
        <v>146</v>
      </c>
      <c r="B6" s="267" t="s">
        <v>144</v>
      </c>
      <c r="C6" s="267" t="s">
        <v>147</v>
      </c>
      <c r="D6" s="292" t="s">
        <v>148</v>
      </c>
    </row>
    <row r="7" spans="1:4" ht="14.25" thickBot="1" thickTop="1">
      <c r="A7" s="14" t="s">
        <v>642</v>
      </c>
      <c r="B7" s="237">
        <v>3</v>
      </c>
      <c r="C7" s="235">
        <f>12*195.21*(1+10%)</f>
        <v>2576.7720000000004</v>
      </c>
      <c r="D7" s="238">
        <f>B7*C7</f>
        <v>7730.316000000001</v>
      </c>
    </row>
    <row r="8" spans="1:4" ht="14.25" thickBot="1" thickTop="1">
      <c r="A8" s="14"/>
      <c r="B8" s="16"/>
      <c r="C8" s="235"/>
      <c r="D8" s="236">
        <f>D7</f>
        <v>7730.316000000001</v>
      </c>
    </row>
    <row r="9" ht="14.25" thickBot="1" thickTop="1"/>
    <row r="10" spans="1:3" ht="13.5" thickTop="1">
      <c r="A10" s="44"/>
      <c r="B10" s="252" t="s">
        <v>224</v>
      </c>
      <c r="C10" s="253" t="s">
        <v>356</v>
      </c>
    </row>
    <row r="11" spans="1:3" ht="13.5" thickBot="1">
      <c r="A11" s="45"/>
      <c r="B11" s="461"/>
      <c r="C11" s="462"/>
    </row>
    <row r="12" spans="1:3" ht="13.5" thickTop="1">
      <c r="A12" s="13" t="s">
        <v>367</v>
      </c>
      <c r="B12" s="459">
        <f>Oppervlaktes!E8</f>
        <v>0.13306889719019005</v>
      </c>
      <c r="C12" s="240">
        <f>B12*$D$8</f>
        <v>1028.6646250516812</v>
      </c>
    </row>
    <row r="13" spans="1:3" ht="12.75">
      <c r="A13" s="18" t="s">
        <v>70</v>
      </c>
      <c r="B13" s="459">
        <f>Oppervlaktes!E9</f>
        <v>0.2697109631313952</v>
      </c>
      <c r="C13" s="240">
        <f aca="true" t="shared" si="0" ref="C13:C20">B13*$D$8</f>
        <v>2084.9509736700347</v>
      </c>
    </row>
    <row r="14" spans="1:3" ht="12.75">
      <c r="A14" s="18" t="s">
        <v>71</v>
      </c>
      <c r="B14" s="459">
        <f>Oppervlaktes!E10</f>
        <v>0.11224693844404744</v>
      </c>
      <c r="C14" s="240">
        <f t="shared" si="0"/>
        <v>867.7043042050351</v>
      </c>
    </row>
    <row r="15" spans="1:3" ht="12.75">
      <c r="A15" s="18" t="s">
        <v>88</v>
      </c>
      <c r="B15" s="459">
        <f>Oppervlaktes!E11</f>
        <v>0.14178983271073578</v>
      </c>
      <c r="C15" s="240">
        <f t="shared" si="0"/>
        <v>1096.0802124411243</v>
      </c>
    </row>
    <row r="16" spans="1:3" ht="12.75">
      <c r="A16" s="18" t="s">
        <v>694</v>
      </c>
      <c r="B16" s="459">
        <f>Oppervlaktes!E13</f>
        <v>0.011369173298684426</v>
      </c>
      <c r="C16" s="240">
        <f t="shared" si="0"/>
        <v>87.887302257593</v>
      </c>
    </row>
    <row r="17" spans="1:3" ht="12.75">
      <c r="A17" s="18" t="s">
        <v>72</v>
      </c>
      <c r="B17" s="459">
        <f>Oppervlaktes!E14</f>
        <v>0.030371934383628396</v>
      </c>
      <c r="C17" s="240">
        <f t="shared" si="0"/>
        <v>234.78465031671274</v>
      </c>
    </row>
    <row r="18" spans="1:3" ht="12.75">
      <c r="A18" s="18" t="s">
        <v>73</v>
      </c>
      <c r="B18" s="459">
        <f>Oppervlaktes!E15</f>
        <v>0.09257755400357319</v>
      </c>
      <c r="C18" s="240">
        <f t="shared" si="0"/>
        <v>715.653746954686</v>
      </c>
    </row>
    <row r="19" spans="1:3" ht="12.75">
      <c r="A19" s="18" t="s">
        <v>275</v>
      </c>
      <c r="B19" s="459">
        <f>Oppervlaktes!E16</f>
        <v>0.01250609062855287</v>
      </c>
      <c r="C19" s="240">
        <f t="shared" si="0"/>
        <v>96.67603248335232</v>
      </c>
    </row>
    <row r="20" spans="1:3" ht="13.5" thickBot="1">
      <c r="A20" s="14" t="s">
        <v>386</v>
      </c>
      <c r="B20" s="242">
        <f>Oppervlaktes!E17+Oppervlaktes!E19</f>
        <v>0.19635861620919284</v>
      </c>
      <c r="C20" s="240">
        <f t="shared" si="0"/>
        <v>1517.914152619783</v>
      </c>
    </row>
    <row r="21" spans="1:3" ht="14.25" thickBot="1" thickTop="1">
      <c r="A21" s="22"/>
      <c r="B21" s="460">
        <f>SUM(B12:B20)</f>
        <v>1.0000000000000002</v>
      </c>
      <c r="C21" s="249">
        <f>SUM(C12:C20)</f>
        <v>7730.316000000002</v>
      </c>
    </row>
    <row r="22" ht="13.5" thickTop="1"/>
  </sheetData>
  <sheetProtection/>
  <printOptions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&amp;LConceptversie - 20 juni 2007 (Alleen te gebruiken voor interne doeleinden)&amp;RTabblad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9"/>
  <dimension ref="A1:E4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2.8515625" style="0" customWidth="1"/>
    <col min="2" max="2" width="12.8515625" style="0" bestFit="1" customWidth="1"/>
    <col min="3" max="3" width="5.28125" style="0" customWidth="1"/>
    <col min="4" max="4" width="14.28125" style="0" customWidth="1"/>
    <col min="5" max="5" width="16.140625" style="0" customWidth="1"/>
  </cols>
  <sheetData>
    <row r="1" spans="1:5" ht="21" thickTop="1">
      <c r="A1" s="4" t="s">
        <v>169</v>
      </c>
      <c r="E1" s="622" t="s">
        <v>84</v>
      </c>
    </row>
    <row r="2" ht="13.5" thickBot="1">
      <c r="E2" s="624" t="s">
        <v>355</v>
      </c>
    </row>
    <row r="3" ht="13.5" thickTop="1"/>
    <row r="4" ht="13.5" thickBot="1"/>
    <row r="5" spans="1:5" ht="15.75" thickBot="1" thickTop="1">
      <c r="A5" s="265"/>
      <c r="B5" s="267" t="s">
        <v>391</v>
      </c>
      <c r="C5" s="267"/>
      <c r="D5" s="267" t="s">
        <v>394</v>
      </c>
      <c r="E5" s="268" t="s">
        <v>393</v>
      </c>
    </row>
    <row r="6" spans="1:5" ht="15" thickTop="1">
      <c r="A6" s="13" t="s">
        <v>388</v>
      </c>
      <c r="B6" s="15">
        <f>1800</f>
        <v>1800</v>
      </c>
      <c r="C6" s="15" t="s">
        <v>390</v>
      </c>
      <c r="D6" s="216">
        <v>2</v>
      </c>
      <c r="E6" s="77">
        <f>B6*D6</f>
        <v>3600</v>
      </c>
    </row>
    <row r="7" spans="1:5" ht="14.25">
      <c r="A7" s="18" t="s">
        <v>389</v>
      </c>
      <c r="B7" s="19">
        <f>100+210</f>
        <v>310</v>
      </c>
      <c r="C7" s="19" t="s">
        <v>390</v>
      </c>
      <c r="D7" s="85">
        <v>4</v>
      </c>
      <c r="E7" s="57">
        <f>B7*D7</f>
        <v>1240</v>
      </c>
    </row>
    <row r="8" spans="1:5" ht="15" thickBot="1">
      <c r="A8" s="14" t="s">
        <v>562</v>
      </c>
      <c r="B8" s="243">
        <f>(1.8+4.8+1.4+3.4+(5*4.8)+1.5+3.3+(4*4.8)+3.5+(1.5*2.4)+3.6+5.5)*4</f>
        <v>302.3999999999999</v>
      </c>
      <c r="C8" s="19" t="s">
        <v>390</v>
      </c>
      <c r="D8" s="217">
        <v>2</v>
      </c>
      <c r="E8" s="60">
        <f>B8*D8</f>
        <v>604.7999999999998</v>
      </c>
    </row>
    <row r="9" spans="1:5" ht="14.25" thickBot="1" thickTop="1">
      <c r="A9" s="22"/>
      <c r="B9" s="40"/>
      <c r="C9" s="40"/>
      <c r="D9" s="463"/>
      <c r="E9" s="38">
        <f>SUM(E6:E7)</f>
        <v>4840</v>
      </c>
    </row>
    <row r="10" spans="1:5" ht="13.5" thickTop="1">
      <c r="A10" s="11"/>
      <c r="B10" s="11"/>
      <c r="C10" s="11"/>
      <c r="D10" s="270"/>
      <c r="E10" s="234"/>
    </row>
    <row r="11" spans="1:5" ht="12.75">
      <c r="A11" s="269" t="s">
        <v>563</v>
      </c>
      <c r="B11" s="11"/>
      <c r="C11" s="11"/>
      <c r="D11" s="270"/>
      <c r="E11" s="234"/>
    </row>
    <row r="12" spans="4:5" ht="13.5" thickBot="1">
      <c r="D12" s="93"/>
      <c r="E12" s="100"/>
    </row>
    <row r="13" spans="1:4" ht="14.25" thickBot="1" thickTop="1">
      <c r="A13" s="265"/>
      <c r="B13" s="267" t="s">
        <v>224</v>
      </c>
      <c r="C13" s="267"/>
      <c r="D13" s="268" t="s">
        <v>392</v>
      </c>
    </row>
    <row r="14" spans="1:4" ht="13.5" thickTop="1">
      <c r="A14" s="13" t="s">
        <v>233</v>
      </c>
      <c r="B14" s="464">
        <f>Oppervlaktes!H8</f>
        <v>0.2583727633379796</v>
      </c>
      <c r="C14" s="15"/>
      <c r="D14" s="77">
        <f>$E$6*B14</f>
        <v>930.1419480167266</v>
      </c>
    </row>
    <row r="15" spans="1:4" ht="12.75">
      <c r="A15" s="18" t="s">
        <v>234</v>
      </c>
      <c r="B15" s="241">
        <f>Oppervlaktes!H9</f>
        <v>0.5236833574055036</v>
      </c>
      <c r="C15" s="19"/>
      <c r="D15" s="57">
        <f>$E$6*B15</f>
        <v>1885.2600866598132</v>
      </c>
    </row>
    <row r="16" spans="1:4" ht="12.75">
      <c r="A16" s="18" t="s">
        <v>235</v>
      </c>
      <c r="B16" s="241">
        <f>Oppervlaktes!H10</f>
        <v>0.21794387925651684</v>
      </c>
      <c r="C16" s="19"/>
      <c r="D16" s="57">
        <f>$E$6*B16</f>
        <v>784.5979653234606</v>
      </c>
    </row>
    <row r="17" spans="1:4" ht="13.5" thickBot="1">
      <c r="A17" s="14" t="s">
        <v>88</v>
      </c>
      <c r="B17" s="16"/>
      <c r="C17" s="16"/>
      <c r="D17" s="60">
        <f>E7</f>
        <v>1240</v>
      </c>
    </row>
    <row r="18" spans="1:4" ht="14.25" thickBot="1" thickTop="1">
      <c r="A18" s="22"/>
      <c r="B18" s="40"/>
      <c r="C18" s="40"/>
      <c r="D18" s="38">
        <f>SUM(D14:D17)</f>
        <v>4840</v>
      </c>
    </row>
    <row r="19" ht="13.5" thickTop="1"/>
    <row r="20" ht="12.75">
      <c r="A20" s="1" t="s">
        <v>564</v>
      </c>
    </row>
    <row r="21" ht="13.5" thickBot="1"/>
    <row r="22" spans="1:4" ht="13.5" thickTop="1">
      <c r="A22" s="44" t="s">
        <v>395</v>
      </c>
      <c r="B22" s="252" t="s">
        <v>224</v>
      </c>
      <c r="C22" s="620"/>
      <c r="D22" s="253" t="s">
        <v>356</v>
      </c>
    </row>
    <row r="23" spans="1:4" ht="13.5" thickBot="1">
      <c r="A23" s="45"/>
      <c r="B23" s="461"/>
      <c r="C23" s="461"/>
      <c r="D23" s="462"/>
    </row>
    <row r="24" spans="1:4" ht="13.5" thickTop="1">
      <c r="A24" s="13" t="s">
        <v>233</v>
      </c>
      <c r="B24" s="619">
        <f>Oppervlaktes!E8</f>
        <v>0.13306889719019005</v>
      </c>
      <c r="C24" s="15"/>
      <c r="D24" s="77">
        <f>$E$8*B24</f>
        <v>80.48006902062691</v>
      </c>
    </row>
    <row r="25" spans="1:4" ht="12.75">
      <c r="A25" s="18" t="s">
        <v>234</v>
      </c>
      <c r="B25" s="459">
        <f>Oppervlaktes!E9</f>
        <v>0.2697109631313952</v>
      </c>
      <c r="C25" s="19"/>
      <c r="D25" s="57">
        <f aca="true" t="shared" si="0" ref="D25:D33">$E$8*B25</f>
        <v>163.12119050186777</v>
      </c>
    </row>
    <row r="26" spans="1:4" ht="12.75">
      <c r="A26" s="18" t="s">
        <v>235</v>
      </c>
      <c r="B26" s="459">
        <f>Oppervlaktes!E10</f>
        <v>0.11224693844404744</v>
      </c>
      <c r="C26" s="19"/>
      <c r="D26" s="57">
        <f t="shared" si="0"/>
        <v>67.88694837095987</v>
      </c>
    </row>
    <row r="27" spans="1:4" ht="12.75">
      <c r="A27" s="18" t="s">
        <v>88</v>
      </c>
      <c r="B27" s="459">
        <f>Oppervlaktes!E11</f>
        <v>0.14178983271073578</v>
      </c>
      <c r="C27" s="19"/>
      <c r="D27" s="57">
        <f t="shared" si="0"/>
        <v>85.75449082345298</v>
      </c>
    </row>
    <row r="28" spans="1:4" ht="12.75">
      <c r="A28" s="18" t="s">
        <v>694</v>
      </c>
      <c r="B28" s="459">
        <f>Oppervlaktes!E13</f>
        <v>0.011369173298684426</v>
      </c>
      <c r="C28" s="19"/>
      <c r="D28" s="57">
        <f t="shared" si="0"/>
        <v>6.876076011044339</v>
      </c>
    </row>
    <row r="29" spans="1:4" ht="12.75">
      <c r="A29" s="18" t="s">
        <v>72</v>
      </c>
      <c r="B29" s="459">
        <f>Oppervlaktes!E14</f>
        <v>0.030371934383628396</v>
      </c>
      <c r="C29" s="19"/>
      <c r="D29" s="57">
        <f t="shared" si="0"/>
        <v>18.36894591521845</v>
      </c>
    </row>
    <row r="30" spans="1:4" ht="12.75">
      <c r="A30" s="18" t="s">
        <v>73</v>
      </c>
      <c r="B30" s="459">
        <f>Oppervlaktes!E15</f>
        <v>0.09257755400357319</v>
      </c>
      <c r="C30" s="19"/>
      <c r="D30" s="57">
        <f t="shared" si="0"/>
        <v>55.99090466136105</v>
      </c>
    </row>
    <row r="31" spans="1:4" ht="12.75">
      <c r="A31" s="18" t="s">
        <v>275</v>
      </c>
      <c r="B31" s="459">
        <f>Oppervlaktes!E16</f>
        <v>0.01250609062855287</v>
      </c>
      <c r="C31" s="19"/>
      <c r="D31" s="57">
        <f t="shared" si="0"/>
        <v>7.563683612148774</v>
      </c>
    </row>
    <row r="32" spans="1:4" ht="13.5" thickBot="1">
      <c r="A32" s="14" t="s">
        <v>386</v>
      </c>
      <c r="B32" s="242">
        <f>Oppervlaktes!E17+Oppervlaktes!E19</f>
        <v>0.19635861620919284</v>
      </c>
      <c r="C32" s="16"/>
      <c r="D32" s="60">
        <f t="shared" si="0"/>
        <v>118.7576910833198</v>
      </c>
    </row>
    <row r="33" spans="1:5" ht="14.25" thickBot="1" thickTop="1">
      <c r="A33" s="22"/>
      <c r="B33" s="460">
        <f>SUM(B24:B32)</f>
        <v>1.0000000000000002</v>
      </c>
      <c r="C33" s="40"/>
      <c r="D33" s="38">
        <f t="shared" si="0"/>
        <v>604.8</v>
      </c>
      <c r="E33" s="194"/>
    </row>
    <row r="34" ht="13.5" thickTop="1"/>
    <row r="36" ht="13.5" thickBot="1"/>
    <row r="37" spans="1:4" ht="13.5" thickTop="1">
      <c r="A37" s="44" t="s">
        <v>395</v>
      </c>
      <c r="B37" s="252"/>
      <c r="C37" s="620"/>
      <c r="D37" s="253" t="s">
        <v>253</v>
      </c>
    </row>
    <row r="38" spans="1:4" ht="13.5" thickBot="1">
      <c r="A38" s="45"/>
      <c r="B38" s="461"/>
      <c r="C38" s="461"/>
      <c r="D38" s="47" t="s">
        <v>356</v>
      </c>
    </row>
    <row r="39" spans="1:4" ht="13.5" thickTop="1">
      <c r="A39" s="13" t="s">
        <v>233</v>
      </c>
      <c r="B39" s="619"/>
      <c r="C39" s="15"/>
      <c r="D39" s="77">
        <f>D14+D24</f>
        <v>1010.6220170373535</v>
      </c>
    </row>
    <row r="40" spans="1:4" ht="12.75">
      <c r="A40" s="18" t="s">
        <v>234</v>
      </c>
      <c r="B40" s="459"/>
      <c r="C40" s="19"/>
      <c r="D40" s="57">
        <f>D15+D25</f>
        <v>2048.381277161681</v>
      </c>
    </row>
    <row r="41" spans="1:4" ht="12.75">
      <c r="A41" s="18" t="s">
        <v>235</v>
      </c>
      <c r="B41" s="459"/>
      <c r="C41" s="19"/>
      <c r="D41" s="57">
        <f>D16+D26</f>
        <v>852.4849136944205</v>
      </c>
    </row>
    <row r="42" spans="1:4" ht="12.75">
      <c r="A42" s="18" t="s">
        <v>88</v>
      </c>
      <c r="B42" s="459"/>
      <c r="C42" s="19"/>
      <c r="D42" s="57">
        <f>D17+D27</f>
        <v>1325.754490823453</v>
      </c>
    </row>
    <row r="43" spans="1:4" ht="12.75">
      <c r="A43" s="18" t="s">
        <v>694</v>
      </c>
      <c r="B43" s="459"/>
      <c r="C43" s="19"/>
      <c r="D43" s="57">
        <f>D28</f>
        <v>6.876076011044339</v>
      </c>
    </row>
    <row r="44" spans="1:4" ht="12.75">
      <c r="A44" s="18" t="s">
        <v>72</v>
      </c>
      <c r="B44" s="459"/>
      <c r="C44" s="19"/>
      <c r="D44" s="57">
        <f>D29</f>
        <v>18.36894591521845</v>
      </c>
    </row>
    <row r="45" spans="1:4" ht="12.75">
      <c r="A45" s="18" t="s">
        <v>73</v>
      </c>
      <c r="B45" s="459"/>
      <c r="C45" s="19"/>
      <c r="D45" s="57">
        <f>D30</f>
        <v>55.99090466136105</v>
      </c>
    </row>
    <row r="46" spans="1:4" ht="12.75">
      <c r="A46" s="18" t="s">
        <v>275</v>
      </c>
      <c r="B46" s="459"/>
      <c r="C46" s="19"/>
      <c r="D46" s="57">
        <f>D31</f>
        <v>7.563683612148774</v>
      </c>
    </row>
    <row r="47" spans="1:4" ht="13.5" thickBot="1">
      <c r="A47" s="14" t="s">
        <v>386</v>
      </c>
      <c r="B47" s="242"/>
      <c r="C47" s="16"/>
      <c r="D47" s="60">
        <f>D32</f>
        <v>118.7576910833198</v>
      </c>
    </row>
    <row r="48" spans="1:4" ht="14.25" thickBot="1" thickTop="1">
      <c r="A48" s="22"/>
      <c r="B48" s="460"/>
      <c r="C48" s="40"/>
      <c r="D48" s="38">
        <f>SUM(D39:D47)</f>
        <v>5444.799999999999</v>
      </c>
    </row>
    <row r="49" ht="13.5" thickTop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&amp;LConceptversie - 20 juni 2007 (Alleen te gebruiken voor interne doeleinden)&amp;RTabblad -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F3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6.7109375" style="0" customWidth="1"/>
    <col min="2" max="2" width="11.8515625" style="0" bestFit="1" customWidth="1"/>
    <col min="3" max="3" width="13.421875" style="0" customWidth="1"/>
    <col min="4" max="4" width="10.8515625" style="0" bestFit="1" customWidth="1"/>
    <col min="5" max="5" width="10.28125" style="0" bestFit="1" customWidth="1"/>
    <col min="6" max="6" width="11.8515625" style="0" bestFit="1" customWidth="1"/>
  </cols>
  <sheetData>
    <row r="1" spans="1:6" ht="18.75" thickTop="1">
      <c r="A1" s="92" t="s">
        <v>171</v>
      </c>
      <c r="E1" s="911" t="s">
        <v>84</v>
      </c>
      <c r="F1" s="912"/>
    </row>
    <row r="2" spans="5:6" ht="13.5" thickBot="1">
      <c r="E2" s="913" t="s">
        <v>355</v>
      </c>
      <c r="F2" s="914"/>
    </row>
    <row r="3" ht="13.5" thickTop="1">
      <c r="A3" s="1" t="s">
        <v>306</v>
      </c>
    </row>
    <row r="5" spans="1:2" ht="12.75">
      <c r="A5" t="s">
        <v>149</v>
      </c>
      <c r="B5" s="104">
        <v>0.05</v>
      </c>
    </row>
    <row r="6" spans="1:3" ht="12.75">
      <c r="A6" t="s">
        <v>150</v>
      </c>
      <c r="B6">
        <v>10</v>
      </c>
      <c r="C6" s="101" t="s">
        <v>151</v>
      </c>
    </row>
    <row r="7" spans="1:2" ht="12.75">
      <c r="A7" t="s">
        <v>152</v>
      </c>
      <c r="B7" s="105">
        <v>20000</v>
      </c>
    </row>
    <row r="8" spans="1:3" ht="12.75">
      <c r="A8" t="s">
        <v>153</v>
      </c>
      <c r="B8" s="102">
        <f>-PMT(B5,B6,B7,0,0)</f>
        <v>2590.0914993091337</v>
      </c>
      <c r="C8" t="s">
        <v>286</v>
      </c>
    </row>
    <row r="9" spans="2:3" ht="12.75">
      <c r="B9" s="102">
        <v>2500</v>
      </c>
      <c r="C9" t="s">
        <v>289</v>
      </c>
    </row>
    <row r="10" spans="2:3" ht="12.75">
      <c r="B10" s="102">
        <v>1500</v>
      </c>
      <c r="C10" t="s">
        <v>561</v>
      </c>
    </row>
    <row r="11" spans="1:3" ht="12.75">
      <c r="A11" s="1" t="s">
        <v>288</v>
      </c>
      <c r="B11" s="229">
        <f>SUM(B8:B10)</f>
        <v>6590.091499309134</v>
      </c>
      <c r="C11" s="1" t="s">
        <v>180</v>
      </c>
    </row>
    <row r="13" spans="1:6" ht="12.75">
      <c r="A13" s="142" t="s">
        <v>167</v>
      </c>
      <c r="B13" s="103" t="s">
        <v>154</v>
      </c>
      <c r="C13" s="103" t="s">
        <v>153</v>
      </c>
      <c r="D13" s="103" t="s">
        <v>149</v>
      </c>
      <c r="E13" s="103" t="s">
        <v>155</v>
      </c>
      <c r="F13" s="103" t="s">
        <v>63</v>
      </c>
    </row>
    <row r="14" spans="1:6" ht="12.75">
      <c r="A14" s="143">
        <v>1</v>
      </c>
      <c r="B14" s="141">
        <f>B7</f>
        <v>20000</v>
      </c>
      <c r="C14" s="102">
        <f aca="true" t="shared" si="0" ref="C14:C23">$B$8</f>
        <v>2590.0914993091337</v>
      </c>
      <c r="D14" s="100">
        <f>$B$5*B14</f>
        <v>1000</v>
      </c>
      <c r="E14" s="102">
        <f>C14-D14</f>
        <v>1590.0914993091337</v>
      </c>
      <c r="F14" s="100">
        <f>B14-E14</f>
        <v>18409.908500690864</v>
      </c>
    </row>
    <row r="15" spans="1:6" ht="12.75">
      <c r="A15" s="143">
        <f aca="true" t="shared" si="1" ref="A15:A23">A14+1</f>
        <v>2</v>
      </c>
      <c r="B15" s="100">
        <f>F14</f>
        <v>18409.908500690864</v>
      </c>
      <c r="C15" s="102">
        <f t="shared" si="0"/>
        <v>2590.0914993091337</v>
      </c>
      <c r="D15" s="100">
        <f aca="true" t="shared" si="2" ref="D15:D23">$B$5*B15</f>
        <v>920.4954250345432</v>
      </c>
      <c r="E15" s="102">
        <f aca="true" t="shared" si="3" ref="E15:E23">C15-D15</f>
        <v>1669.5960742745906</v>
      </c>
      <c r="F15" s="100">
        <f aca="true" t="shared" si="4" ref="F15:F23">B15-E15</f>
        <v>16740.312426416273</v>
      </c>
    </row>
    <row r="16" spans="1:6" ht="12.75">
      <c r="A16" s="143">
        <f t="shared" si="1"/>
        <v>3</v>
      </c>
      <c r="B16" s="100">
        <f aca="true" t="shared" si="5" ref="B16:B23">F15</f>
        <v>16740.312426416273</v>
      </c>
      <c r="C16" s="102">
        <f t="shared" si="0"/>
        <v>2590.0914993091337</v>
      </c>
      <c r="D16" s="100">
        <f t="shared" si="2"/>
        <v>837.0156213208137</v>
      </c>
      <c r="E16" s="102">
        <f t="shared" si="3"/>
        <v>1753.07587798832</v>
      </c>
      <c r="F16" s="100">
        <f t="shared" si="4"/>
        <v>14987.236548427953</v>
      </c>
    </row>
    <row r="17" spans="1:6" ht="12.75">
      <c r="A17" s="143">
        <f t="shared" si="1"/>
        <v>4</v>
      </c>
      <c r="B17" s="100">
        <f t="shared" si="5"/>
        <v>14987.236548427953</v>
      </c>
      <c r="C17" s="102">
        <f t="shared" si="0"/>
        <v>2590.0914993091337</v>
      </c>
      <c r="D17" s="100">
        <f t="shared" si="2"/>
        <v>749.3618274213977</v>
      </c>
      <c r="E17" s="102">
        <f t="shared" si="3"/>
        <v>1840.729671887736</v>
      </c>
      <c r="F17" s="100">
        <f t="shared" si="4"/>
        <v>13146.506876540217</v>
      </c>
    </row>
    <row r="18" spans="1:6" ht="12.75">
      <c r="A18" s="143">
        <f t="shared" si="1"/>
        <v>5</v>
      </c>
      <c r="B18" s="100">
        <f t="shared" si="5"/>
        <v>13146.506876540217</v>
      </c>
      <c r="C18" s="102">
        <f t="shared" si="0"/>
        <v>2590.0914993091337</v>
      </c>
      <c r="D18" s="100">
        <f t="shared" si="2"/>
        <v>657.3253438270109</v>
      </c>
      <c r="E18" s="102">
        <f t="shared" si="3"/>
        <v>1932.766155482123</v>
      </c>
      <c r="F18" s="100">
        <f t="shared" si="4"/>
        <v>11213.740721058095</v>
      </c>
    </row>
    <row r="19" spans="1:6" ht="12.75">
      <c r="A19" s="143">
        <f t="shared" si="1"/>
        <v>6</v>
      </c>
      <c r="B19" s="100">
        <f t="shared" si="5"/>
        <v>11213.740721058095</v>
      </c>
      <c r="C19" s="102">
        <f t="shared" si="0"/>
        <v>2590.0914993091337</v>
      </c>
      <c r="D19" s="100">
        <f t="shared" si="2"/>
        <v>560.6870360529048</v>
      </c>
      <c r="E19" s="102">
        <f t="shared" si="3"/>
        <v>2029.404463256229</v>
      </c>
      <c r="F19" s="100">
        <f t="shared" si="4"/>
        <v>9184.336257801866</v>
      </c>
    </row>
    <row r="20" spans="1:6" ht="12.75">
      <c r="A20" s="143">
        <f t="shared" si="1"/>
        <v>7</v>
      </c>
      <c r="B20" s="100">
        <f t="shared" si="5"/>
        <v>9184.336257801866</v>
      </c>
      <c r="C20" s="102">
        <f t="shared" si="0"/>
        <v>2590.0914993091337</v>
      </c>
      <c r="D20" s="100">
        <f t="shared" si="2"/>
        <v>459.2168128900933</v>
      </c>
      <c r="E20" s="102">
        <f t="shared" si="3"/>
        <v>2130.8746864190402</v>
      </c>
      <c r="F20" s="100">
        <f t="shared" si="4"/>
        <v>7053.461571382826</v>
      </c>
    </row>
    <row r="21" spans="1:6" ht="12.75">
      <c r="A21" s="143">
        <f t="shared" si="1"/>
        <v>8</v>
      </c>
      <c r="B21" s="100">
        <f t="shared" si="5"/>
        <v>7053.461571382826</v>
      </c>
      <c r="C21" s="102">
        <f t="shared" si="0"/>
        <v>2590.0914993091337</v>
      </c>
      <c r="D21" s="100">
        <f t="shared" si="2"/>
        <v>352.67307856914135</v>
      </c>
      <c r="E21" s="102">
        <f t="shared" si="3"/>
        <v>2237.418420739992</v>
      </c>
      <c r="F21" s="100">
        <f t="shared" si="4"/>
        <v>4816.043150642834</v>
      </c>
    </row>
    <row r="22" spans="1:6" ht="12.75">
      <c r="A22" s="143">
        <f t="shared" si="1"/>
        <v>9</v>
      </c>
      <c r="B22" s="100">
        <f t="shared" si="5"/>
        <v>4816.043150642834</v>
      </c>
      <c r="C22" s="102">
        <f t="shared" si="0"/>
        <v>2590.0914993091337</v>
      </c>
      <c r="D22" s="100">
        <f t="shared" si="2"/>
        <v>240.8021575321417</v>
      </c>
      <c r="E22" s="102">
        <f t="shared" si="3"/>
        <v>2349.289341776992</v>
      </c>
      <c r="F22" s="100">
        <f t="shared" si="4"/>
        <v>2466.753808865842</v>
      </c>
    </row>
    <row r="23" spans="1:6" ht="12.75">
      <c r="A23" s="143">
        <f t="shared" si="1"/>
        <v>10</v>
      </c>
      <c r="B23" s="100">
        <f t="shared" si="5"/>
        <v>2466.753808865842</v>
      </c>
      <c r="C23" s="102">
        <f t="shared" si="0"/>
        <v>2590.0914993091337</v>
      </c>
      <c r="D23" s="100">
        <f t="shared" si="2"/>
        <v>123.3376904432921</v>
      </c>
      <c r="E23" s="102">
        <f t="shared" si="3"/>
        <v>2466.7538088658416</v>
      </c>
      <c r="F23" s="100">
        <f t="shared" si="4"/>
        <v>0</v>
      </c>
    </row>
    <row r="24" spans="2:6" ht="12.75">
      <c r="B24" s="100"/>
      <c r="C24" s="102"/>
      <c r="D24" s="100"/>
      <c r="E24" s="102"/>
      <c r="F24" s="100"/>
    </row>
    <row r="25" spans="2:6" ht="13.5" thickBot="1">
      <c r="B25" s="100"/>
      <c r="C25" s="102"/>
      <c r="D25" s="100"/>
      <c r="E25" s="102"/>
      <c r="F25" s="100"/>
    </row>
    <row r="26" spans="1:3" ht="13.5" thickTop="1">
      <c r="A26" s="44" t="s">
        <v>395</v>
      </c>
      <c r="B26" s="252" t="s">
        <v>224</v>
      </c>
      <c r="C26" s="253" t="s">
        <v>356</v>
      </c>
    </row>
    <row r="27" spans="1:3" ht="13.5" thickBot="1">
      <c r="A27" s="45"/>
      <c r="B27" s="461"/>
      <c r="C27" s="462"/>
    </row>
    <row r="28" spans="1:3" ht="13.5" thickTop="1">
      <c r="A28" s="13" t="s">
        <v>233</v>
      </c>
      <c r="B28" s="459">
        <f>Oppervlaktes!E8</f>
        <v>0.13306889719019005</v>
      </c>
      <c r="C28" s="240">
        <f>B28*$B$11</f>
        <v>876.9362081955126</v>
      </c>
    </row>
    <row r="29" spans="1:3" ht="12.75">
      <c r="A29" s="18" t="s">
        <v>234</v>
      </c>
      <c r="B29" s="459">
        <f>Oppervlaktes!E9</f>
        <v>0.2697109631313952</v>
      </c>
      <c r="C29" s="240">
        <f aca="true" t="shared" si="6" ref="C29:C36">B29*$B$11</f>
        <v>1777.4199254026867</v>
      </c>
    </row>
    <row r="30" spans="1:3" ht="12.75">
      <c r="A30" s="18" t="s">
        <v>235</v>
      </c>
      <c r="B30" s="459">
        <f>Oppervlaktes!E10</f>
        <v>0.11224693844404744</v>
      </c>
      <c r="C30" s="240">
        <f t="shared" si="6"/>
        <v>739.7175948635927</v>
      </c>
    </row>
    <row r="31" spans="1:3" ht="12.75">
      <c r="A31" s="18" t="s">
        <v>88</v>
      </c>
      <c r="B31" s="459">
        <f>Oppervlaktes!E11</f>
        <v>0.14178983271073578</v>
      </c>
      <c r="C31" s="240">
        <f t="shared" si="6"/>
        <v>934.407971235484</v>
      </c>
    </row>
    <row r="32" spans="1:3" ht="12.75">
      <c r="A32" s="18" t="s">
        <v>694</v>
      </c>
      <c r="B32" s="459">
        <f>Oppervlaktes!E13</f>
        <v>0.011369173298684426</v>
      </c>
      <c r="C32" s="240">
        <f t="shared" si="6"/>
        <v>74.92389230983262</v>
      </c>
    </row>
    <row r="33" spans="1:3" ht="12.75">
      <c r="A33" s="18" t="s">
        <v>72</v>
      </c>
      <c r="B33" s="459">
        <f>Oppervlaktes!E14</f>
        <v>0.030371934383628396</v>
      </c>
      <c r="C33" s="240">
        <f t="shared" si="6"/>
        <v>200.1538265991243</v>
      </c>
    </row>
    <row r="34" spans="1:3" ht="12.75">
      <c r="A34" s="18" t="s">
        <v>73</v>
      </c>
      <c r="B34" s="459">
        <f>Oppervlaktes!E15</f>
        <v>0.09257755400357319</v>
      </c>
      <c r="C34" s="240">
        <f t="shared" si="6"/>
        <v>610.0945516657799</v>
      </c>
    </row>
    <row r="35" spans="1:3" ht="12.75">
      <c r="A35" s="18" t="s">
        <v>275</v>
      </c>
      <c r="B35" s="459">
        <f>Oppervlaktes!E16</f>
        <v>0.01250609062855287</v>
      </c>
      <c r="C35" s="240">
        <f t="shared" si="6"/>
        <v>82.41628154081589</v>
      </c>
    </row>
    <row r="36" spans="1:3" ht="13.5" thickBot="1">
      <c r="A36" s="14" t="s">
        <v>386</v>
      </c>
      <c r="B36" s="242">
        <f>Oppervlaktes!E17+Oppervlaktes!E19</f>
        <v>0.19635861620919284</v>
      </c>
      <c r="C36" s="240">
        <f t="shared" si="6"/>
        <v>1294.0212474963064</v>
      </c>
    </row>
    <row r="37" spans="1:3" ht="14.25" thickBot="1" thickTop="1">
      <c r="A37" s="22"/>
      <c r="B37" s="460">
        <f>SUM(B28:B36)</f>
        <v>1.0000000000000002</v>
      </c>
      <c r="C37" s="249">
        <f>SUM(C28:C36)</f>
        <v>6590.0914993091355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9" scale="96" r:id="rId3"/>
  <headerFooter alignWithMargins="0">
    <oddFooter>&amp;LConceptversie - 20 juni 2007 (Alleen te gebruiken voor interne doeleinden)&amp;RTabblad - &amp;A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G36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6.7109375" style="0" customWidth="1"/>
    <col min="2" max="3" width="11.8515625" style="0" customWidth="1"/>
    <col min="4" max="4" width="10.8515625" style="0" bestFit="1" customWidth="1"/>
    <col min="5" max="5" width="10.28125" style="0" bestFit="1" customWidth="1"/>
    <col min="6" max="6" width="11.8515625" style="0" bestFit="1" customWidth="1"/>
  </cols>
  <sheetData>
    <row r="1" spans="1:7" ht="18.75" thickTop="1">
      <c r="A1" s="92" t="s">
        <v>172</v>
      </c>
      <c r="F1" s="911" t="s">
        <v>84</v>
      </c>
      <c r="G1" s="912"/>
    </row>
    <row r="2" spans="6:7" ht="13.5" thickBot="1">
      <c r="F2" s="913" t="s">
        <v>355</v>
      </c>
      <c r="G2" s="914"/>
    </row>
    <row r="3" ht="13.5" thickTop="1">
      <c r="A3" s="1" t="s">
        <v>173</v>
      </c>
    </row>
    <row r="5" spans="1:2" ht="12.75">
      <c r="A5" t="s">
        <v>149</v>
      </c>
      <c r="B5" s="104">
        <v>0.05</v>
      </c>
    </row>
    <row r="6" spans="1:3" ht="12.75">
      <c r="A6" t="s">
        <v>150</v>
      </c>
      <c r="B6">
        <v>10</v>
      </c>
      <c r="C6" s="101" t="s">
        <v>151</v>
      </c>
    </row>
    <row r="7" spans="1:2" ht="12.75">
      <c r="A7" t="s">
        <v>152</v>
      </c>
      <c r="B7" s="105">
        <v>25000</v>
      </c>
    </row>
    <row r="8" spans="1:3" ht="12.75">
      <c r="A8" t="s">
        <v>153</v>
      </c>
      <c r="B8" s="102">
        <f>-PMT(B5,B6,B7,0,0)</f>
        <v>3237.614374136417</v>
      </c>
      <c r="C8" t="s">
        <v>286</v>
      </c>
    </row>
    <row r="9" spans="1:3" ht="12.75">
      <c r="A9" t="s">
        <v>287</v>
      </c>
      <c r="B9" s="102">
        <v>1500</v>
      </c>
      <c r="C9" t="s">
        <v>180</v>
      </c>
    </row>
    <row r="10" spans="1:3" ht="12.75">
      <c r="A10" t="s">
        <v>560</v>
      </c>
      <c r="B10" s="102">
        <f>500*12</f>
        <v>6000</v>
      </c>
      <c r="C10" t="s">
        <v>726</v>
      </c>
    </row>
    <row r="11" spans="1:3" ht="12.75">
      <c r="A11" s="1" t="s">
        <v>288</v>
      </c>
      <c r="B11" s="229">
        <f>SUM(B8:B10)</f>
        <v>10737.614374136418</v>
      </c>
      <c r="C11" s="1" t="s">
        <v>180</v>
      </c>
    </row>
    <row r="13" spans="1:6" ht="12.75">
      <c r="A13" s="103" t="s">
        <v>167</v>
      </c>
      <c r="B13" s="103" t="s">
        <v>154</v>
      </c>
      <c r="C13" s="103" t="s">
        <v>153</v>
      </c>
      <c r="D13" s="103" t="s">
        <v>149</v>
      </c>
      <c r="E13" s="103" t="s">
        <v>155</v>
      </c>
      <c r="F13" s="103" t="s">
        <v>63</v>
      </c>
    </row>
    <row r="14" spans="1:6" ht="12.75">
      <c r="A14">
        <v>1</v>
      </c>
      <c r="B14" s="100">
        <f>B7</f>
        <v>25000</v>
      </c>
      <c r="C14" s="102">
        <f aca="true" t="shared" si="0" ref="C14:C23">$B$8</f>
        <v>3237.614374136417</v>
      </c>
      <c r="D14" s="100">
        <f>$B$5*B14</f>
        <v>1250</v>
      </c>
      <c r="E14" s="102">
        <f>C14-D14</f>
        <v>1987.6143741364172</v>
      </c>
      <c r="F14" s="100">
        <f>B14-E14</f>
        <v>23012.385625863582</v>
      </c>
    </row>
    <row r="15" spans="1:6" ht="12.75">
      <c r="A15">
        <f aca="true" t="shared" si="1" ref="A15:A23">A14+1</f>
        <v>2</v>
      </c>
      <c r="B15" s="100">
        <f>F14</f>
        <v>23012.385625863582</v>
      </c>
      <c r="C15" s="102">
        <f t="shared" si="0"/>
        <v>3237.614374136417</v>
      </c>
      <c r="D15" s="100">
        <f aca="true" t="shared" si="2" ref="D15:D23">$B$5*B15</f>
        <v>1150.6192812931793</v>
      </c>
      <c r="E15" s="102">
        <f aca="true" t="shared" si="3" ref="E15:E23">C15-D15</f>
        <v>2086.995092843238</v>
      </c>
      <c r="F15" s="100">
        <f aca="true" t="shared" si="4" ref="F15:F23">B15-E15</f>
        <v>20925.390533020345</v>
      </c>
    </row>
    <row r="16" spans="1:6" ht="12.75">
      <c r="A16">
        <f t="shared" si="1"/>
        <v>3</v>
      </c>
      <c r="B16" s="100">
        <f aca="true" t="shared" si="5" ref="B16:B23">F15</f>
        <v>20925.390533020345</v>
      </c>
      <c r="C16" s="102">
        <f t="shared" si="0"/>
        <v>3237.614374136417</v>
      </c>
      <c r="D16" s="100">
        <f t="shared" si="2"/>
        <v>1046.2695266510173</v>
      </c>
      <c r="E16" s="102">
        <f t="shared" si="3"/>
        <v>2191.3448474854</v>
      </c>
      <c r="F16" s="100">
        <f t="shared" si="4"/>
        <v>18734.045685534944</v>
      </c>
    </row>
    <row r="17" spans="1:6" ht="12.75">
      <c r="A17">
        <f t="shared" si="1"/>
        <v>4</v>
      </c>
      <c r="B17" s="100">
        <f t="shared" si="5"/>
        <v>18734.045685534944</v>
      </c>
      <c r="C17" s="102">
        <f t="shared" si="0"/>
        <v>3237.614374136417</v>
      </c>
      <c r="D17" s="100">
        <f t="shared" si="2"/>
        <v>936.7022842767473</v>
      </c>
      <c r="E17" s="102">
        <f t="shared" si="3"/>
        <v>2300.91208985967</v>
      </c>
      <c r="F17" s="100">
        <f t="shared" si="4"/>
        <v>16433.133595675274</v>
      </c>
    </row>
    <row r="18" spans="1:6" ht="12.75">
      <c r="A18">
        <f t="shared" si="1"/>
        <v>5</v>
      </c>
      <c r="B18" s="100">
        <f t="shared" si="5"/>
        <v>16433.133595675274</v>
      </c>
      <c r="C18" s="102">
        <f t="shared" si="0"/>
        <v>3237.614374136417</v>
      </c>
      <c r="D18" s="100">
        <f t="shared" si="2"/>
        <v>821.6566797837637</v>
      </c>
      <c r="E18" s="102">
        <f t="shared" si="3"/>
        <v>2415.9576943526536</v>
      </c>
      <c r="F18" s="100">
        <f t="shared" si="4"/>
        <v>14017.17590132262</v>
      </c>
    </row>
    <row r="19" spans="1:6" ht="12.75">
      <c r="A19">
        <f t="shared" si="1"/>
        <v>6</v>
      </c>
      <c r="B19" s="100">
        <f t="shared" si="5"/>
        <v>14017.17590132262</v>
      </c>
      <c r="C19" s="102">
        <f t="shared" si="0"/>
        <v>3237.614374136417</v>
      </c>
      <c r="D19" s="100">
        <f t="shared" si="2"/>
        <v>700.858795066131</v>
      </c>
      <c r="E19" s="102">
        <f t="shared" si="3"/>
        <v>2536.7555790702863</v>
      </c>
      <c r="F19" s="100">
        <f t="shared" si="4"/>
        <v>11480.420322252334</v>
      </c>
    </row>
    <row r="20" spans="1:6" ht="12.75">
      <c r="A20">
        <f t="shared" si="1"/>
        <v>7</v>
      </c>
      <c r="B20" s="100">
        <f t="shared" si="5"/>
        <v>11480.420322252334</v>
      </c>
      <c r="C20" s="102">
        <f t="shared" si="0"/>
        <v>3237.614374136417</v>
      </c>
      <c r="D20" s="100">
        <f t="shared" si="2"/>
        <v>574.0210161126167</v>
      </c>
      <c r="E20" s="102">
        <f t="shared" si="3"/>
        <v>2663.5933580238006</v>
      </c>
      <c r="F20" s="100">
        <f t="shared" si="4"/>
        <v>8816.826964228534</v>
      </c>
    </row>
    <row r="21" spans="1:6" ht="12.75">
      <c r="A21">
        <f t="shared" si="1"/>
        <v>8</v>
      </c>
      <c r="B21" s="100">
        <f t="shared" si="5"/>
        <v>8816.826964228534</v>
      </c>
      <c r="C21" s="102">
        <f t="shared" si="0"/>
        <v>3237.614374136417</v>
      </c>
      <c r="D21" s="100">
        <f t="shared" si="2"/>
        <v>440.84134821142675</v>
      </c>
      <c r="E21" s="102">
        <f t="shared" si="3"/>
        <v>2796.77302592499</v>
      </c>
      <c r="F21" s="100">
        <f t="shared" si="4"/>
        <v>6020.053938303544</v>
      </c>
    </row>
    <row r="22" spans="1:6" ht="12.75">
      <c r="A22">
        <f t="shared" si="1"/>
        <v>9</v>
      </c>
      <c r="B22" s="100">
        <f t="shared" si="5"/>
        <v>6020.053938303544</v>
      </c>
      <c r="C22" s="102">
        <f t="shared" si="0"/>
        <v>3237.614374136417</v>
      </c>
      <c r="D22" s="100">
        <f t="shared" si="2"/>
        <v>301.0026969151772</v>
      </c>
      <c r="E22" s="102">
        <f t="shared" si="3"/>
        <v>2936.61167722124</v>
      </c>
      <c r="F22" s="100">
        <f t="shared" si="4"/>
        <v>3083.442261082304</v>
      </c>
    </row>
    <row r="23" spans="1:6" ht="12.75">
      <c r="A23">
        <f t="shared" si="1"/>
        <v>10</v>
      </c>
      <c r="B23" s="100">
        <f t="shared" si="5"/>
        <v>3083.442261082304</v>
      </c>
      <c r="C23" s="102">
        <f t="shared" si="0"/>
        <v>3237.614374136417</v>
      </c>
      <c r="D23" s="100">
        <f t="shared" si="2"/>
        <v>154.17211305411521</v>
      </c>
      <c r="E23" s="102">
        <f t="shared" si="3"/>
        <v>3083.442261082302</v>
      </c>
      <c r="F23" s="100">
        <f t="shared" si="4"/>
        <v>0</v>
      </c>
    </row>
    <row r="24" ht="13.5" thickBot="1"/>
    <row r="25" spans="1:3" ht="13.5" thickTop="1">
      <c r="A25" s="44" t="s">
        <v>395</v>
      </c>
      <c r="B25" s="252" t="s">
        <v>224</v>
      </c>
      <c r="C25" s="253" t="s">
        <v>356</v>
      </c>
    </row>
    <row r="26" spans="1:3" ht="13.5" thickBot="1">
      <c r="A26" s="45"/>
      <c r="B26" s="461"/>
      <c r="C26" s="462"/>
    </row>
    <row r="27" spans="1:3" ht="13.5" thickTop="1">
      <c r="A27" s="13" t="s">
        <v>233</v>
      </c>
      <c r="B27" s="459">
        <f>Oppervlaktes!E8</f>
        <v>0.13306889719019005</v>
      </c>
      <c r="C27" s="240">
        <f>B27*$B$11</f>
        <v>1428.8425032198659</v>
      </c>
    </row>
    <row r="28" spans="1:3" ht="12.75">
      <c r="A28" s="18" t="s">
        <v>234</v>
      </c>
      <c r="B28" s="459">
        <f>Oppervlaktes!E9</f>
        <v>0.2697109631313952</v>
      </c>
      <c r="C28" s="240">
        <f aca="true" t="shared" si="6" ref="C28:C35">B28*$B$11</f>
        <v>2896.0523145818465</v>
      </c>
    </row>
    <row r="29" spans="1:3" ht="12.75">
      <c r="A29" s="18" t="s">
        <v>235</v>
      </c>
      <c r="B29" s="459">
        <f>Oppervlaktes!E10</f>
        <v>0.11224693844404744</v>
      </c>
      <c r="C29" s="240">
        <f t="shared" si="6"/>
        <v>1205.2643396896094</v>
      </c>
    </row>
    <row r="30" spans="1:3" ht="12.75">
      <c r="A30" s="18" t="s">
        <v>88</v>
      </c>
      <c r="B30" s="459">
        <f>Oppervlaktes!E11</f>
        <v>0.14178983271073578</v>
      </c>
      <c r="C30" s="240">
        <f t="shared" si="6"/>
        <v>1522.4845458211946</v>
      </c>
    </row>
    <row r="31" spans="1:3" ht="12.75">
      <c r="A31" s="18" t="s">
        <v>694</v>
      </c>
      <c r="B31" s="459">
        <f>Oppervlaktes!E13</f>
        <v>0.011369173298684426</v>
      </c>
      <c r="C31" s="240">
        <f t="shared" si="6"/>
        <v>122.07779863400184</v>
      </c>
    </row>
    <row r="32" spans="1:3" ht="12.75">
      <c r="A32" s="18" t="s">
        <v>72</v>
      </c>
      <c r="B32" s="459">
        <f>Oppervlaktes!E14</f>
        <v>0.030371934383628396</v>
      </c>
      <c r="C32" s="240">
        <f t="shared" si="6"/>
        <v>326.12211920797637</v>
      </c>
    </row>
    <row r="33" spans="1:3" ht="12.75">
      <c r="A33" s="18" t="s">
        <v>73</v>
      </c>
      <c r="B33" s="459">
        <f>Oppervlaktes!E15</f>
        <v>0.09257755400357319</v>
      </c>
      <c r="C33" s="240">
        <f t="shared" si="6"/>
        <v>994.062074591158</v>
      </c>
    </row>
    <row r="34" spans="1:3" ht="12.75">
      <c r="A34" s="18" t="s">
        <v>275</v>
      </c>
      <c r="B34" s="459">
        <f>Oppervlaktes!E16</f>
        <v>0.01250609062855287</v>
      </c>
      <c r="C34" s="240">
        <f t="shared" si="6"/>
        <v>134.28557849740204</v>
      </c>
    </row>
    <row r="35" spans="1:3" ht="13.5" thickBot="1">
      <c r="A35" s="14" t="s">
        <v>386</v>
      </c>
      <c r="B35" s="242">
        <f>Oppervlaktes!E19+Oppervlaktes!E17</f>
        <v>0.19635861620919284</v>
      </c>
      <c r="C35" s="240">
        <f t="shared" si="6"/>
        <v>2108.4230998933654</v>
      </c>
    </row>
    <row r="36" spans="1:3" ht="14.25" thickBot="1" thickTop="1">
      <c r="A36" s="22"/>
      <c r="B36" s="460">
        <f>SUM(B27:B35)</f>
        <v>1.0000000000000002</v>
      </c>
      <c r="C36" s="249">
        <f>SUM(C27:C35)</f>
        <v>10737.61437413642</v>
      </c>
    </row>
    <row r="37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84" r:id="rId3"/>
  <headerFooter alignWithMargins="0">
    <oddFooter>&amp;LConceptversie - 20 juni 2007 (Alleen te gebruiken voor interne doeleinden)&amp;RTabblad - &amp;A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40">
      <selection activeCell="C8" sqref="C8"/>
    </sheetView>
  </sheetViews>
  <sheetFormatPr defaultColWidth="9.140625" defaultRowHeight="12.75"/>
  <cols>
    <col min="1" max="1" width="9.00390625" style="0" customWidth="1"/>
    <col min="2" max="2" width="71.421875" style="0" customWidth="1"/>
    <col min="3" max="3" width="15.421875" style="0" bestFit="1" customWidth="1"/>
    <col min="4" max="4" width="16.28125" style="0" customWidth="1"/>
    <col min="5" max="5" width="18.140625" style="0" customWidth="1"/>
  </cols>
  <sheetData>
    <row r="1" spans="2:8" ht="18.75" thickTop="1">
      <c r="B1" s="92" t="s">
        <v>172</v>
      </c>
      <c r="D1" s="622" t="s">
        <v>84</v>
      </c>
      <c r="E1" s="246"/>
      <c r="G1" s="246"/>
      <c r="H1" s="246"/>
    </row>
    <row r="2" spans="4:8" ht="13.5" thickBot="1">
      <c r="D2" s="624" t="s">
        <v>355</v>
      </c>
      <c r="E2" s="246"/>
      <c r="G2" s="246"/>
      <c r="H2" s="246"/>
    </row>
    <row r="3" ht="13.5" thickTop="1"/>
    <row r="4" ht="13.5" thickBot="1"/>
    <row r="5" spans="1:5" ht="24" thickBot="1">
      <c r="A5" s="1039"/>
      <c r="B5" s="1040"/>
      <c r="C5" s="1043" t="s">
        <v>482</v>
      </c>
      <c r="D5" s="1044"/>
      <c r="E5" s="1045"/>
    </row>
    <row r="6" spans="1:5" ht="18.75" thickBot="1">
      <c r="A6" s="1041"/>
      <c r="B6" s="1042"/>
      <c r="C6" s="530" t="s">
        <v>483</v>
      </c>
      <c r="D6" s="531" t="s">
        <v>484</v>
      </c>
      <c r="E6" s="532" t="s">
        <v>485</v>
      </c>
    </row>
    <row r="7" spans="1:5" ht="12.75">
      <c r="A7" s="1038" t="s">
        <v>486</v>
      </c>
      <c r="B7" s="533"/>
      <c r="C7" s="534"/>
      <c r="D7" s="535"/>
      <c r="E7" s="1026" t="s">
        <v>487</v>
      </c>
    </row>
    <row r="8" spans="1:5" ht="12.75">
      <c r="A8" s="1034"/>
      <c r="B8" s="536" t="s">
        <v>488</v>
      </c>
      <c r="C8" s="537">
        <v>225</v>
      </c>
      <c r="D8" s="538">
        <v>1000</v>
      </c>
      <c r="E8" s="1046"/>
    </row>
    <row r="9" spans="1:5" ht="12.75">
      <c r="A9" s="1034"/>
      <c r="B9" s="536"/>
      <c r="C9" s="539"/>
      <c r="D9" s="540"/>
      <c r="E9" s="1046"/>
    </row>
    <row r="10" spans="1:5" ht="13.5" thickBot="1">
      <c r="A10" s="1034"/>
      <c r="B10" s="541"/>
      <c r="C10" s="542"/>
      <c r="D10" s="543"/>
      <c r="E10" s="1047"/>
    </row>
    <row r="11" spans="1:5" ht="12.75">
      <c r="A11" s="1013" t="s">
        <v>489</v>
      </c>
      <c r="B11" s="544"/>
      <c r="C11" s="545"/>
      <c r="D11" s="546"/>
      <c r="E11" s="1048"/>
    </row>
    <row r="12" spans="1:5" ht="12.75">
      <c r="A12" s="1014"/>
      <c r="B12" s="548" t="s">
        <v>490</v>
      </c>
      <c r="C12" s="549">
        <v>29</v>
      </c>
      <c r="D12" s="550">
        <v>750</v>
      </c>
      <c r="E12" s="1049"/>
    </row>
    <row r="13" spans="1:5" ht="12.75">
      <c r="A13" s="1014"/>
      <c r="B13" s="548" t="s">
        <v>491</v>
      </c>
      <c r="C13" s="537">
        <v>179</v>
      </c>
      <c r="D13" s="550">
        <v>750</v>
      </c>
      <c r="E13" s="1049"/>
    </row>
    <row r="14" spans="1:5" ht="12.75">
      <c r="A14" s="1014"/>
      <c r="B14" s="548" t="s">
        <v>492</v>
      </c>
      <c r="C14" s="537">
        <v>65</v>
      </c>
      <c r="D14" s="550">
        <v>750</v>
      </c>
      <c r="E14" s="1049"/>
    </row>
    <row r="15" spans="1:5" ht="12.75">
      <c r="A15" s="1014"/>
      <c r="B15" s="548" t="s">
        <v>493</v>
      </c>
      <c r="C15" s="537">
        <v>519</v>
      </c>
      <c r="D15" s="550">
        <v>750</v>
      </c>
      <c r="E15" s="1049"/>
    </row>
    <row r="16" spans="1:5" ht="12.75">
      <c r="A16" s="1014"/>
      <c r="B16" s="551" t="s">
        <v>494</v>
      </c>
      <c r="C16" s="552">
        <v>239</v>
      </c>
      <c r="D16" s="550">
        <v>750</v>
      </c>
      <c r="E16" s="1049"/>
    </row>
    <row r="17" spans="1:5" ht="13.5" thickBot="1">
      <c r="A17" s="1023"/>
      <c r="B17" s="553"/>
      <c r="C17" s="554"/>
      <c r="D17" s="543"/>
      <c r="E17" s="1050"/>
    </row>
    <row r="18" spans="1:5" ht="12.75">
      <c r="A18" s="1034" t="s">
        <v>495</v>
      </c>
      <c r="B18" s="555"/>
      <c r="C18" s="556"/>
      <c r="D18" s="557"/>
      <c r="E18" s="1010"/>
    </row>
    <row r="19" spans="1:5" ht="12.75">
      <c r="A19" s="1034"/>
      <c r="B19" s="555" t="s">
        <v>496</v>
      </c>
      <c r="C19" s="556"/>
      <c r="D19" s="557"/>
      <c r="E19" s="1011"/>
    </row>
    <row r="20" spans="1:5" ht="12.75">
      <c r="A20" s="1034"/>
      <c r="B20" s="555" t="s">
        <v>497</v>
      </c>
      <c r="C20" s="558">
        <v>99</v>
      </c>
      <c r="D20" s="550">
        <v>0</v>
      </c>
      <c r="E20" s="1011"/>
    </row>
    <row r="21" spans="1:5" ht="12.75">
      <c r="A21" s="1034"/>
      <c r="B21" s="555" t="s">
        <v>498</v>
      </c>
      <c r="C21" s="558">
        <v>199</v>
      </c>
      <c r="D21" s="538">
        <v>0</v>
      </c>
      <c r="E21" s="1011"/>
    </row>
    <row r="22" spans="1:5" ht="12.75">
      <c r="A22" s="1034"/>
      <c r="B22" s="555" t="s">
        <v>499</v>
      </c>
      <c r="C22" s="558">
        <v>199</v>
      </c>
      <c r="D22" s="538">
        <v>0</v>
      </c>
      <c r="E22" s="1011"/>
    </row>
    <row r="23" spans="1:5" ht="12.75">
      <c r="A23" s="1034"/>
      <c r="B23" s="555" t="s">
        <v>500</v>
      </c>
      <c r="C23" s="558">
        <v>399</v>
      </c>
      <c r="D23" s="538">
        <v>0</v>
      </c>
      <c r="E23" s="1011"/>
    </row>
    <row r="24" spans="1:5" ht="12.75">
      <c r="A24" s="1034"/>
      <c r="B24" s="555" t="s">
        <v>501</v>
      </c>
      <c r="C24" s="558">
        <v>399</v>
      </c>
      <c r="D24" s="538">
        <v>0</v>
      </c>
      <c r="E24" s="1011"/>
    </row>
    <row r="25" spans="1:5" ht="12.75">
      <c r="A25" s="1034"/>
      <c r="B25" s="555" t="s">
        <v>502</v>
      </c>
      <c r="C25" s="558">
        <v>799</v>
      </c>
      <c r="D25" s="538">
        <v>0</v>
      </c>
      <c r="E25" s="1011"/>
    </row>
    <row r="26" spans="1:5" ht="12.75">
      <c r="A26" s="1034"/>
      <c r="B26" s="555"/>
      <c r="C26" s="556"/>
      <c r="D26" s="557"/>
      <c r="E26" s="1011"/>
    </row>
    <row r="27" spans="1:5" ht="12.75">
      <c r="A27" s="1034"/>
      <c r="B27" s="559" t="s">
        <v>503</v>
      </c>
      <c r="C27" s="1036" t="s">
        <v>504</v>
      </c>
      <c r="D27" s="1037"/>
      <c r="E27" s="1011"/>
    </row>
    <row r="28" spans="1:5" ht="12.75">
      <c r="A28" s="1034"/>
      <c r="B28" s="559" t="s">
        <v>505</v>
      </c>
      <c r="C28" s="1036" t="s">
        <v>506</v>
      </c>
      <c r="D28" s="1037"/>
      <c r="E28" s="1011"/>
    </row>
    <row r="29" spans="1:5" ht="13.5" thickBot="1">
      <c r="A29" s="1035"/>
      <c r="B29" s="559"/>
      <c r="C29" s="560"/>
      <c r="D29" s="561"/>
      <c r="E29" s="1012"/>
    </row>
    <row r="30" spans="1:5" ht="12.75">
      <c r="A30" s="1038" t="s">
        <v>507</v>
      </c>
      <c r="B30" s="562" t="s">
        <v>507</v>
      </c>
      <c r="C30" s="563"/>
      <c r="D30" s="535"/>
      <c r="E30" s="1010"/>
    </row>
    <row r="31" spans="1:5" ht="12.75">
      <c r="A31" s="1034"/>
      <c r="B31" s="559" t="s">
        <v>508</v>
      </c>
      <c r="C31" s="1036" t="s">
        <v>509</v>
      </c>
      <c r="D31" s="1037"/>
      <c r="E31" s="1011"/>
    </row>
    <row r="32" spans="1:5" ht="12.75">
      <c r="A32" s="1034"/>
      <c r="B32" s="559" t="s">
        <v>510</v>
      </c>
      <c r="C32" s="1036" t="s">
        <v>509</v>
      </c>
      <c r="D32" s="1037"/>
      <c r="E32" s="1011"/>
    </row>
    <row r="33" spans="1:5" ht="13.5" thickBot="1">
      <c r="A33" s="1035"/>
      <c r="B33" s="564"/>
      <c r="C33" s="565"/>
      <c r="D33" s="566"/>
      <c r="E33" s="1012"/>
    </row>
    <row r="34" spans="1:5" ht="12.75">
      <c r="A34" s="547"/>
      <c r="B34" s="544"/>
      <c r="C34" s="567"/>
      <c r="D34" s="568"/>
      <c r="E34" s="1010"/>
    </row>
    <row r="35" spans="1:5" ht="12.75">
      <c r="A35" s="1014" t="s">
        <v>637</v>
      </c>
      <c r="B35" s="569" t="s">
        <v>511</v>
      </c>
      <c r="C35" s="570">
        <v>0</v>
      </c>
      <c r="D35" s="540">
        <v>0</v>
      </c>
      <c r="E35" s="1011"/>
    </row>
    <row r="36" spans="1:5" ht="12.75">
      <c r="A36" s="1014"/>
      <c r="B36" s="569" t="s">
        <v>512</v>
      </c>
      <c r="C36" s="571">
        <v>12</v>
      </c>
      <c r="D36" s="540">
        <v>0</v>
      </c>
      <c r="E36" s="1011"/>
    </row>
    <row r="37" spans="1:5" ht="12.75">
      <c r="A37" s="1014"/>
      <c r="B37" s="572" t="s">
        <v>513</v>
      </c>
      <c r="C37" s="571">
        <v>10</v>
      </c>
      <c r="D37" s="540">
        <v>0</v>
      </c>
      <c r="E37" s="1011"/>
    </row>
    <row r="38" spans="1:5" ht="12.75">
      <c r="A38" s="1014"/>
      <c r="B38" s="572" t="s">
        <v>514</v>
      </c>
      <c r="C38" s="571">
        <v>1</v>
      </c>
      <c r="D38" s="540">
        <v>0</v>
      </c>
      <c r="E38" s="1011"/>
    </row>
    <row r="39" spans="1:5" ht="12.75">
      <c r="A39" s="1014"/>
      <c r="B39" s="572" t="s">
        <v>515</v>
      </c>
      <c r="C39" s="573">
        <v>15</v>
      </c>
      <c r="D39" s="574">
        <v>0</v>
      </c>
      <c r="E39" s="1011"/>
    </row>
    <row r="40" spans="1:5" ht="13.5" thickBot="1">
      <c r="A40" s="1023"/>
      <c r="B40" s="575"/>
      <c r="C40" s="576"/>
      <c r="D40" s="577"/>
      <c r="E40" s="1012"/>
    </row>
    <row r="41" spans="1:5" ht="12.75">
      <c r="A41" s="1031" t="s">
        <v>636</v>
      </c>
      <c r="B41" s="578"/>
      <c r="C41" s="579"/>
      <c r="D41" s="580"/>
      <c r="E41" s="1017"/>
    </row>
    <row r="42" spans="1:5" ht="12.75">
      <c r="A42" s="1032"/>
      <c r="B42" s="581" t="s">
        <v>516</v>
      </c>
      <c r="C42" s="537">
        <v>0</v>
      </c>
      <c r="D42" s="540">
        <v>0</v>
      </c>
      <c r="E42" s="1018"/>
    </row>
    <row r="43" spans="1:5" ht="12.75">
      <c r="A43" s="1032"/>
      <c r="B43" s="581" t="s">
        <v>517</v>
      </c>
      <c r="C43" s="537">
        <v>5</v>
      </c>
      <c r="D43" s="540">
        <v>0</v>
      </c>
      <c r="E43" s="1018"/>
    </row>
    <row r="44" spans="1:5" ht="12.75">
      <c r="A44" s="1032"/>
      <c r="B44" s="581" t="s">
        <v>518</v>
      </c>
      <c r="C44" s="537">
        <v>12</v>
      </c>
      <c r="D44" s="540">
        <v>0</v>
      </c>
      <c r="E44" s="1018"/>
    </row>
    <row r="45" spans="1:5" ht="13.5" thickBot="1">
      <c r="A45" s="1033"/>
      <c r="B45" s="582"/>
      <c r="C45" s="542"/>
      <c r="D45" s="543"/>
      <c r="E45" s="1019"/>
    </row>
    <row r="46" spans="1:5" ht="12.75">
      <c r="A46" s="1031" t="s">
        <v>519</v>
      </c>
      <c r="B46" s="583"/>
      <c r="C46" s="584"/>
      <c r="D46" s="585"/>
      <c r="E46" s="1010"/>
    </row>
    <row r="47" spans="1:5" ht="12.75">
      <c r="A47" s="1032"/>
      <c r="B47" s="586" t="s">
        <v>520</v>
      </c>
      <c r="C47" s="587"/>
      <c r="D47" s="588">
        <v>250</v>
      </c>
      <c r="E47" s="1011"/>
    </row>
    <row r="48" spans="1:5" ht="12.75">
      <c r="A48" s="1032"/>
      <c r="B48" s="586" t="s">
        <v>521</v>
      </c>
      <c r="C48" s="587"/>
      <c r="D48" s="588">
        <v>165</v>
      </c>
      <c r="E48" s="1011"/>
    </row>
    <row r="49" spans="1:5" ht="12.75">
      <c r="A49" s="1032"/>
      <c r="B49" s="586" t="s">
        <v>522</v>
      </c>
      <c r="C49" s="587">
        <v>85</v>
      </c>
      <c r="D49" s="588">
        <v>250</v>
      </c>
      <c r="E49" s="1011"/>
    </row>
    <row r="50" spans="1:5" ht="12.75">
      <c r="A50" s="1032"/>
      <c r="B50" s="589"/>
      <c r="C50" s="590"/>
      <c r="D50" s="591"/>
      <c r="E50" s="1011"/>
    </row>
    <row r="51" spans="1:5" ht="13.5" thickBot="1">
      <c r="A51" s="1033"/>
      <c r="B51" s="592"/>
      <c r="C51" s="593"/>
      <c r="D51" s="594"/>
      <c r="E51" s="1012"/>
    </row>
    <row r="52" spans="1:5" ht="12.75">
      <c r="A52" s="1007" t="s">
        <v>523</v>
      </c>
      <c r="B52" s="595"/>
      <c r="C52" s="596"/>
      <c r="D52" s="597"/>
      <c r="E52" s="1010"/>
    </row>
    <row r="53" spans="1:5" ht="12.75">
      <c r="A53" s="1008"/>
      <c r="B53" s="536" t="s">
        <v>524</v>
      </c>
      <c r="C53" s="537">
        <v>0</v>
      </c>
      <c r="D53" s="538"/>
      <c r="E53" s="1011"/>
    </row>
    <row r="54" spans="1:5" ht="12.75">
      <c r="A54" s="1008"/>
      <c r="B54" s="536" t="s">
        <v>525</v>
      </c>
      <c r="C54" s="537">
        <v>30</v>
      </c>
      <c r="D54" s="538"/>
      <c r="E54" s="1011"/>
    </row>
    <row r="55" spans="1:5" ht="12.75">
      <c r="A55" s="1008"/>
      <c r="B55" s="536" t="s">
        <v>526</v>
      </c>
      <c r="C55" s="537">
        <v>50</v>
      </c>
      <c r="D55" s="538"/>
      <c r="E55" s="1011"/>
    </row>
    <row r="56" spans="1:5" ht="12.75">
      <c r="A56" s="1008"/>
      <c r="B56" s="536"/>
      <c r="C56" s="537"/>
      <c r="D56" s="538"/>
      <c r="E56" s="1011"/>
    </row>
    <row r="57" spans="1:5" ht="13.5" thickBot="1">
      <c r="A57" s="1009"/>
      <c r="B57" s="541"/>
      <c r="C57" s="598"/>
      <c r="D57" s="599"/>
      <c r="E57" s="1012"/>
    </row>
    <row r="58" spans="1:5" ht="12.75">
      <c r="A58" s="1013" t="s">
        <v>527</v>
      </c>
      <c r="B58" s="600"/>
      <c r="C58" s="601"/>
      <c r="D58" s="602"/>
      <c r="E58" s="1017"/>
    </row>
    <row r="59" spans="1:5" ht="12.75">
      <c r="A59" s="1014"/>
      <c r="B59" s="603" t="s">
        <v>528</v>
      </c>
      <c r="C59" s="604">
        <v>0</v>
      </c>
      <c r="D59" s="550">
        <v>35</v>
      </c>
      <c r="E59" s="1018"/>
    </row>
    <row r="60" spans="1:5" ht="12.75">
      <c r="A60" s="1015"/>
      <c r="B60" s="603" t="s">
        <v>529</v>
      </c>
      <c r="C60" s="571">
        <v>0</v>
      </c>
      <c r="D60" s="538">
        <v>35</v>
      </c>
      <c r="E60" s="1018"/>
    </row>
    <row r="61" spans="1:5" ht="12.75">
      <c r="A61" s="1015"/>
      <c r="B61" s="603" t="s">
        <v>530</v>
      </c>
      <c r="C61" s="571">
        <v>0</v>
      </c>
      <c r="D61" s="605" t="s">
        <v>531</v>
      </c>
      <c r="E61" s="1018"/>
    </row>
    <row r="62" spans="1:5" ht="12.75">
      <c r="A62" s="1015"/>
      <c r="B62" s="603" t="s">
        <v>532</v>
      </c>
      <c r="C62" s="571">
        <v>0</v>
      </c>
      <c r="D62" s="605" t="s">
        <v>531</v>
      </c>
      <c r="E62" s="1018"/>
    </row>
    <row r="63" spans="1:5" ht="12.75">
      <c r="A63" s="1015"/>
      <c r="B63" s="572" t="s">
        <v>533</v>
      </c>
      <c r="C63" s="571">
        <v>85</v>
      </c>
      <c r="D63" s="538">
        <v>349</v>
      </c>
      <c r="E63" s="1018"/>
    </row>
    <row r="64" spans="1:5" ht="12.75">
      <c r="A64" s="1015"/>
      <c r="B64" s="572" t="s">
        <v>534</v>
      </c>
      <c r="C64" s="571">
        <v>10</v>
      </c>
      <c r="D64" s="538">
        <v>0</v>
      </c>
      <c r="E64" s="1018"/>
    </row>
    <row r="65" spans="1:5" ht="12.75">
      <c r="A65" s="1015"/>
      <c r="B65" s="572" t="s">
        <v>535</v>
      </c>
      <c r="C65" s="606" t="s">
        <v>536</v>
      </c>
      <c r="D65" s="538">
        <v>0</v>
      </c>
      <c r="E65" s="1018"/>
    </row>
    <row r="66" spans="1:5" ht="12.75">
      <c r="A66" s="1015"/>
      <c r="B66" s="572" t="s">
        <v>537</v>
      </c>
      <c r="C66" s="571">
        <v>2.5</v>
      </c>
      <c r="D66" s="538">
        <v>0</v>
      </c>
      <c r="E66" s="1018"/>
    </row>
    <row r="67" spans="1:5" ht="12.75">
      <c r="A67" s="1015"/>
      <c r="B67" s="572" t="s">
        <v>538</v>
      </c>
      <c r="C67" s="571">
        <v>0</v>
      </c>
      <c r="D67" s="538">
        <v>25</v>
      </c>
      <c r="E67" s="1018"/>
    </row>
    <row r="68" spans="1:5" ht="12.75">
      <c r="A68" s="1015"/>
      <c r="B68" s="607" t="s">
        <v>539</v>
      </c>
      <c r="C68" s="571">
        <v>7</v>
      </c>
      <c r="D68" s="538">
        <v>0</v>
      </c>
      <c r="E68" s="1018"/>
    </row>
    <row r="69" spans="1:5" ht="12.75">
      <c r="A69" s="1015"/>
      <c r="B69" s="548" t="s">
        <v>540</v>
      </c>
      <c r="C69" s="571">
        <v>9.5</v>
      </c>
      <c r="D69" s="538">
        <v>0</v>
      </c>
      <c r="E69" s="1018"/>
    </row>
    <row r="70" spans="1:5" ht="12.75">
      <c r="A70" s="1015"/>
      <c r="B70" s="548" t="s">
        <v>541</v>
      </c>
      <c r="C70" s="571">
        <v>12.5</v>
      </c>
      <c r="D70" s="538">
        <v>0</v>
      </c>
      <c r="E70" s="1018"/>
    </row>
    <row r="71" spans="1:5" ht="12.75">
      <c r="A71" s="1015"/>
      <c r="B71" s="548" t="s">
        <v>542</v>
      </c>
      <c r="C71" s="571">
        <v>21</v>
      </c>
      <c r="D71" s="538">
        <v>0</v>
      </c>
      <c r="E71" s="1018"/>
    </row>
    <row r="72" spans="1:5" ht="12.75">
      <c r="A72" s="1015"/>
      <c r="B72" s="548" t="s">
        <v>543</v>
      </c>
      <c r="C72" s="571">
        <v>30</v>
      </c>
      <c r="D72" s="538">
        <v>0</v>
      </c>
      <c r="E72" s="1018"/>
    </row>
    <row r="73" spans="1:5" ht="12.75">
      <c r="A73" s="1015"/>
      <c r="B73" s="548" t="s">
        <v>544</v>
      </c>
      <c r="C73" s="571">
        <v>35</v>
      </c>
      <c r="D73" s="538">
        <v>0</v>
      </c>
      <c r="E73" s="1018"/>
    </row>
    <row r="74" spans="1:5" ht="12.75">
      <c r="A74" s="1015"/>
      <c r="B74" s="572" t="s">
        <v>545</v>
      </c>
      <c r="C74" s="608" t="s">
        <v>546</v>
      </c>
      <c r="D74" s="609" t="s">
        <v>546</v>
      </c>
      <c r="E74" s="1018"/>
    </row>
    <row r="75" spans="1:5" ht="12.75">
      <c r="A75" s="1015"/>
      <c r="B75" s="548" t="s">
        <v>547</v>
      </c>
      <c r="C75" s="610">
        <v>0</v>
      </c>
      <c r="D75" s="609" t="s">
        <v>546</v>
      </c>
      <c r="E75" s="1018"/>
    </row>
    <row r="76" spans="1:5" ht="12.75">
      <c r="A76" s="1015"/>
      <c r="B76" s="548" t="s">
        <v>548</v>
      </c>
      <c r="C76" s="611" t="s">
        <v>536</v>
      </c>
      <c r="D76" s="540">
        <v>0</v>
      </c>
      <c r="E76" s="1018"/>
    </row>
    <row r="77" spans="1:5" ht="12.75">
      <c r="A77" s="1015"/>
      <c r="B77" s="548" t="s">
        <v>549</v>
      </c>
      <c r="C77" s="612">
        <v>0</v>
      </c>
      <c r="D77" s="613" t="s">
        <v>550</v>
      </c>
      <c r="E77" s="1018"/>
    </row>
    <row r="78" spans="1:5" ht="13.5" thickBot="1">
      <c r="A78" s="1016"/>
      <c r="B78" s="553"/>
      <c r="C78" s="576"/>
      <c r="D78" s="577"/>
      <c r="E78" s="1019"/>
    </row>
    <row r="79" spans="1:5" ht="12.75">
      <c r="A79" s="1020" t="s">
        <v>551</v>
      </c>
      <c r="B79" s="614"/>
      <c r="C79" s="615"/>
      <c r="D79" s="615"/>
      <c r="E79" s="813"/>
    </row>
    <row r="80" spans="1:5" ht="12.75">
      <c r="A80" s="1021"/>
      <c r="B80" s="614" t="s">
        <v>552</v>
      </c>
      <c r="C80" s="422"/>
      <c r="D80" s="422"/>
      <c r="E80" s="814"/>
    </row>
    <row r="81" spans="1:5" ht="12.75">
      <c r="A81" s="1021"/>
      <c r="B81" s="616" t="s">
        <v>553</v>
      </c>
      <c r="C81" s="422"/>
      <c r="D81" s="422"/>
      <c r="E81" s="814"/>
    </row>
    <row r="82" spans="1:5" ht="12.75">
      <c r="A82" s="1021"/>
      <c r="B82" s="616" t="s">
        <v>554</v>
      </c>
      <c r="C82" s="422"/>
      <c r="D82" s="422"/>
      <c r="E82" s="814"/>
    </row>
    <row r="83" spans="1:5" ht="12.75">
      <c r="A83" s="1021"/>
      <c r="B83" s="614" t="s">
        <v>555</v>
      </c>
      <c r="C83" s="422"/>
      <c r="D83" s="422"/>
      <c r="E83" s="814"/>
    </row>
    <row r="84" spans="1:5" ht="12.75">
      <c r="A84" s="1021"/>
      <c r="B84" s="614" t="s">
        <v>556</v>
      </c>
      <c r="C84" s="422"/>
      <c r="D84" s="422"/>
      <c r="E84" s="814"/>
    </row>
    <row r="85" spans="1:5" ht="12.75">
      <c r="A85" s="1021"/>
      <c r="B85" s="614"/>
      <c r="C85" s="422"/>
      <c r="D85" s="422"/>
      <c r="E85" s="814"/>
    </row>
    <row r="86" spans="1:5" ht="12.75">
      <c r="A86" s="1021"/>
      <c r="B86" s="614"/>
      <c r="C86" s="422"/>
      <c r="D86" s="422"/>
      <c r="E86" s="814"/>
    </row>
    <row r="87" spans="1:5" ht="13.5" thickBot="1">
      <c r="A87" s="1022"/>
      <c r="B87" s="617"/>
      <c r="C87" s="618"/>
      <c r="D87" s="618"/>
      <c r="E87" s="815"/>
    </row>
    <row r="88" spans="1:5" ht="12.75">
      <c r="A88" s="11"/>
      <c r="B88" s="422"/>
      <c r="C88" s="422"/>
      <c r="D88" s="422"/>
      <c r="E88" s="812"/>
    </row>
    <row r="89" spans="1:5" ht="13.5" thickBot="1">
      <c r="A89" s="11" t="s">
        <v>557</v>
      </c>
      <c r="B89" s="422"/>
      <c r="C89" s="422"/>
      <c r="D89" s="422"/>
      <c r="E89" s="812"/>
    </row>
    <row r="90" spans="1:5" ht="12.75">
      <c r="A90" s="1013" t="s">
        <v>638</v>
      </c>
      <c r="B90" s="1024" t="s">
        <v>558</v>
      </c>
      <c r="C90" s="1025"/>
      <c r="D90" s="1025"/>
      <c r="E90" s="1026"/>
    </row>
    <row r="91" spans="1:5" ht="12.75">
      <c r="A91" s="1014"/>
      <c r="B91" s="1029" t="s">
        <v>559</v>
      </c>
      <c r="C91" s="1030"/>
      <c r="D91" s="1030"/>
      <c r="E91" s="1027"/>
    </row>
    <row r="92" spans="1:5" ht="12.75">
      <c r="A92" s="1014"/>
      <c r="B92" s="1029"/>
      <c r="C92" s="1030"/>
      <c r="D92" s="1030"/>
      <c r="E92" s="1027"/>
    </row>
    <row r="93" spans="1:5" ht="13.5" thickBot="1">
      <c r="A93" s="1023"/>
      <c r="B93" s="1005"/>
      <c r="C93" s="1006"/>
      <c r="D93" s="1006"/>
      <c r="E93" s="1028"/>
    </row>
  </sheetData>
  <sheetProtection/>
  <mergeCells count="31">
    <mergeCell ref="A5:B6"/>
    <mergeCell ref="C5:E5"/>
    <mergeCell ref="A7:A10"/>
    <mergeCell ref="E7:E10"/>
    <mergeCell ref="A11:A17"/>
    <mergeCell ref="E11:E17"/>
    <mergeCell ref="A18:A29"/>
    <mergeCell ref="E18:E29"/>
    <mergeCell ref="C27:D27"/>
    <mergeCell ref="C28:D28"/>
    <mergeCell ref="A30:A33"/>
    <mergeCell ref="E30:E33"/>
    <mergeCell ref="C31:D31"/>
    <mergeCell ref="C32:D32"/>
    <mergeCell ref="B92:D92"/>
    <mergeCell ref="E34:E40"/>
    <mergeCell ref="A35:A40"/>
    <mergeCell ref="A41:A45"/>
    <mergeCell ref="E41:E45"/>
    <mergeCell ref="A46:A51"/>
    <mergeCell ref="E46:E51"/>
    <mergeCell ref="B93:D93"/>
    <mergeCell ref="A52:A57"/>
    <mergeCell ref="E52:E57"/>
    <mergeCell ref="A58:A78"/>
    <mergeCell ref="E58:E78"/>
    <mergeCell ref="A79:A87"/>
    <mergeCell ref="A90:A93"/>
    <mergeCell ref="B90:D90"/>
    <mergeCell ref="E90:E93"/>
    <mergeCell ref="B91:D91"/>
  </mergeCells>
  <printOptions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Footer>&amp;LConceptversie - 20 juni 2007 (Alleen te gebruiken voor interne doeleinden)&amp;RTabblad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7"/>
  <dimension ref="A1:H32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43.8515625" style="0" customWidth="1"/>
    <col min="2" max="3" width="10.140625" style="0" customWidth="1"/>
    <col min="4" max="4" width="11.57421875" style="0" customWidth="1"/>
    <col min="5" max="7" width="15.7109375" style="0" customWidth="1"/>
    <col min="8" max="8" width="19.00390625" style="0" customWidth="1"/>
  </cols>
  <sheetData>
    <row r="1" ht="20.25">
      <c r="A1" s="4" t="s">
        <v>646</v>
      </c>
    </row>
    <row r="3" spans="1:6" ht="15.75">
      <c r="A3" s="52" t="s">
        <v>17</v>
      </c>
      <c r="E3" s="201"/>
      <c r="F3" s="201"/>
    </row>
    <row r="4" ht="13.5" thickBot="1"/>
    <row r="5" spans="1:8" ht="13.5" thickTop="1">
      <c r="A5" s="44" t="s">
        <v>51</v>
      </c>
      <c r="B5" s="504" t="s">
        <v>77</v>
      </c>
      <c r="C5" s="504" t="s">
        <v>259</v>
      </c>
      <c r="D5" s="504" t="s">
        <v>224</v>
      </c>
      <c r="E5" s="504" t="s">
        <v>365</v>
      </c>
      <c r="F5" s="504" t="s">
        <v>259</v>
      </c>
      <c r="G5" s="504" t="s">
        <v>365</v>
      </c>
      <c r="H5" s="504" t="s">
        <v>445</v>
      </c>
    </row>
    <row r="6" spans="1:8" ht="12.75">
      <c r="A6" s="934"/>
      <c r="B6" s="936" t="s">
        <v>92</v>
      </c>
      <c r="C6" s="936" t="s">
        <v>92</v>
      </c>
      <c r="D6" s="935" t="s">
        <v>250</v>
      </c>
      <c r="E6" s="935" t="s">
        <v>366</v>
      </c>
      <c r="F6" s="936" t="s">
        <v>92</v>
      </c>
      <c r="G6" s="935"/>
      <c r="H6" s="935"/>
    </row>
    <row r="7" spans="1:8" ht="13.5" thickBot="1">
      <c r="A7" s="45"/>
      <c r="B7" s="505"/>
      <c r="C7" s="505"/>
      <c r="D7" s="506"/>
      <c r="E7" s="506"/>
      <c r="F7" s="505" t="s">
        <v>730</v>
      </c>
      <c r="G7" s="506" t="s">
        <v>244</v>
      </c>
      <c r="H7" s="506" t="s">
        <v>56</v>
      </c>
    </row>
    <row r="8" spans="1:8" ht="13.5" thickTop="1">
      <c r="A8" s="10" t="s">
        <v>367</v>
      </c>
      <c r="B8" s="211">
        <f>C8/(1+7%)</f>
        <v>765.7057943925233</v>
      </c>
      <c r="C8" s="211">
        <f>174+592+((26%*C18)*67%)</f>
        <v>819.3052</v>
      </c>
      <c r="D8" s="190">
        <f>B8/$B$26</f>
        <v>0.105403988164158</v>
      </c>
      <c r="E8" s="190">
        <f>B8/(SUM($B$8:$B$17)+$B$19)</f>
        <v>0.13306889719019005</v>
      </c>
      <c r="F8" s="937">
        <f>$C$28*E8</f>
        <v>1034.3445378593472</v>
      </c>
      <c r="G8" s="425">
        <f>B8/($B$8+$B$9+$B$10+$B$11+$B$13+$B$14+$B$15+$B$16)</f>
        <v>0.16558243499419972</v>
      </c>
      <c r="H8" s="425">
        <f>B8/($B$8+$B$9+$B$10)</f>
        <v>0.2583727633379796</v>
      </c>
    </row>
    <row r="9" spans="1:8" ht="12.75">
      <c r="A9" s="5" t="s">
        <v>70</v>
      </c>
      <c r="B9" s="212">
        <f aca="true" t="shared" si="0" ref="B9:B24">C9/(1+7%)</f>
        <v>1551.972336448598</v>
      </c>
      <c r="C9" s="212">
        <f>465+1089+((52%*C18)*67%)</f>
        <v>1660.6104</v>
      </c>
      <c r="D9" s="191">
        <f>B9/$B$26</f>
        <v>0.21363828637591664</v>
      </c>
      <c r="E9" s="191">
        <f aca="true" t="shared" si="1" ref="E9:E19">B9/(SUM($B$8:$B$17)+$B$19)</f>
        <v>0.2697109631313952</v>
      </c>
      <c r="F9" s="938">
        <f aca="true" t="shared" si="2" ref="F9:F19">$C$28*E9</f>
        <v>2096.4633164203346</v>
      </c>
      <c r="G9" s="58">
        <f aca="true" t="shared" si="3" ref="G9:G16">B9/($B$8+$B$9+$B$10+$B$11+$B$13+$B$14+$B$15+$B$16)</f>
        <v>0.33561109292201735</v>
      </c>
      <c r="H9" s="426">
        <f>B9/($B$8+$B$9+$B$10)</f>
        <v>0.5236833574055036</v>
      </c>
    </row>
    <row r="10" spans="1:8" ht="12.75">
      <c r="A10" s="5" t="s">
        <v>71</v>
      </c>
      <c r="B10" s="212">
        <f t="shared" si="0"/>
        <v>645.8919626168224</v>
      </c>
      <c r="C10" s="212">
        <f>193+453+((22%*C18)*67%)</f>
        <v>691.1044</v>
      </c>
      <c r="D10" s="191">
        <f>B10/$B$26</f>
        <v>0.08891089669368327</v>
      </c>
      <c r="E10" s="191">
        <f t="shared" si="1"/>
        <v>0.11224693844404744</v>
      </c>
      <c r="F10" s="938">
        <f t="shared" si="2"/>
        <v>872.4954525255807</v>
      </c>
      <c r="G10" s="58">
        <f t="shared" si="3"/>
        <v>0.1396729196729197</v>
      </c>
      <c r="H10" s="426">
        <f>B10/($B$8+$B$9+$B$10)</f>
        <v>0.21794387925651684</v>
      </c>
    </row>
    <row r="11" spans="1:8" ht="12.75">
      <c r="A11" s="5" t="s">
        <v>88</v>
      </c>
      <c r="B11" s="212">
        <f t="shared" si="0"/>
        <v>815.8878504672897</v>
      </c>
      <c r="C11" s="5">
        <f>773+100</f>
        <v>873</v>
      </c>
      <c r="D11" s="191">
        <f>B11/$B$26</f>
        <v>0.11231184870706291</v>
      </c>
      <c r="E11" s="191">
        <f t="shared" si="1"/>
        <v>0.14178983271073578</v>
      </c>
      <c r="F11" s="938">
        <f t="shared" si="2"/>
        <v>1102.1323696605493</v>
      </c>
      <c r="G11" s="58">
        <f t="shared" si="3"/>
        <v>0.17643421004765544</v>
      </c>
      <c r="H11" s="5"/>
    </row>
    <row r="12" spans="1:8" ht="12.75">
      <c r="A12" s="5" t="s">
        <v>80</v>
      </c>
      <c r="B12" s="212"/>
      <c r="C12" s="5"/>
      <c r="D12" s="191"/>
      <c r="E12" s="191"/>
      <c r="F12" s="938"/>
      <c r="G12" s="58">
        <f t="shared" si="3"/>
        <v>0</v>
      </c>
      <c r="H12" s="5"/>
    </row>
    <row r="13" spans="1:8" ht="12.75">
      <c r="A13" s="5" t="s">
        <v>694</v>
      </c>
      <c r="B13" s="212">
        <f t="shared" si="0"/>
        <v>65.42056074766354</v>
      </c>
      <c r="C13" s="5">
        <v>70</v>
      </c>
      <c r="D13" s="191">
        <f aca="true" t="shared" si="4" ref="D13:D22">B13/$B$26</f>
        <v>0.009005531969638492</v>
      </c>
      <c r="E13" s="191">
        <f t="shared" si="1"/>
        <v>0.011369173298684426</v>
      </c>
      <c r="F13" s="938">
        <f t="shared" si="2"/>
        <v>88.37258405067405</v>
      </c>
      <c r="G13" s="58">
        <f t="shared" si="3"/>
        <v>0.014147072970602383</v>
      </c>
      <c r="H13" s="5"/>
    </row>
    <row r="14" spans="1:8" ht="12.75">
      <c r="A14" s="5" t="s">
        <v>72</v>
      </c>
      <c r="B14" s="212">
        <f t="shared" si="0"/>
        <v>174.7663551401869</v>
      </c>
      <c r="C14" s="5">
        <f>145+42</f>
        <v>187</v>
      </c>
      <c r="D14" s="191">
        <f t="shared" si="4"/>
        <v>0.024057635404605687</v>
      </c>
      <c r="E14" s="191">
        <f t="shared" si="1"/>
        <v>0.030371934383628396</v>
      </c>
      <c r="F14" s="938">
        <f t="shared" si="2"/>
        <v>236.08104596394352</v>
      </c>
      <c r="G14" s="58">
        <f t="shared" si="3"/>
        <v>0.03779289493575208</v>
      </c>
      <c r="H14" s="5"/>
    </row>
    <row r="15" spans="1:8" ht="12.75">
      <c r="A15" s="5" t="s">
        <v>73</v>
      </c>
      <c r="B15" s="212">
        <f t="shared" si="0"/>
        <v>532.7102803738318</v>
      </c>
      <c r="C15" s="5">
        <f>489+81</f>
        <v>570</v>
      </c>
      <c r="D15" s="191">
        <f t="shared" si="4"/>
        <v>0.07333076032419916</v>
      </c>
      <c r="E15" s="191">
        <f t="shared" si="1"/>
        <v>0.09257755400357319</v>
      </c>
      <c r="F15" s="938">
        <f t="shared" si="2"/>
        <v>719.6053272697744</v>
      </c>
      <c r="G15" s="58">
        <f t="shared" si="3"/>
        <v>0.11519759418919086</v>
      </c>
      <c r="H15" s="5"/>
    </row>
    <row r="16" spans="1:8" ht="12.75">
      <c r="A16" s="5" t="s">
        <v>275</v>
      </c>
      <c r="B16" s="212">
        <f t="shared" si="0"/>
        <v>71.96261682242991</v>
      </c>
      <c r="C16" s="5">
        <v>77</v>
      </c>
      <c r="D16" s="191">
        <f t="shared" si="4"/>
        <v>0.009906085166602343</v>
      </c>
      <c r="E16" s="191">
        <f t="shared" si="1"/>
        <v>0.01250609062855287</v>
      </c>
      <c r="F16" s="938">
        <f t="shared" si="2"/>
        <v>97.20984245574147</v>
      </c>
      <c r="G16" s="58">
        <f t="shared" si="3"/>
        <v>0.015561780267662624</v>
      </c>
      <c r="H16" s="5"/>
    </row>
    <row r="17" spans="1:8" ht="12.75">
      <c r="A17" s="5" t="s">
        <v>75</v>
      </c>
      <c r="B17" s="212">
        <f t="shared" si="0"/>
        <v>73.83177570093457</v>
      </c>
      <c r="C17" s="5">
        <f>38+41</f>
        <v>79</v>
      </c>
      <c r="D17" s="191">
        <f t="shared" si="4"/>
        <v>0.010163386080020584</v>
      </c>
      <c r="E17" s="191">
        <f t="shared" si="1"/>
        <v>0.012830924151372424</v>
      </c>
      <c r="F17" s="938">
        <f t="shared" si="2"/>
        <v>99.73477342861786</v>
      </c>
      <c r="G17" s="27"/>
      <c r="H17" s="5"/>
    </row>
    <row r="18" spans="1:8" ht="12.75">
      <c r="A18" s="5" t="s">
        <v>446</v>
      </c>
      <c r="B18" s="509">
        <f t="shared" si="0"/>
        <v>285.9813084112149</v>
      </c>
      <c r="C18" s="510">
        <f>185+121</f>
        <v>306</v>
      </c>
      <c r="D18" s="191"/>
      <c r="E18" s="191"/>
      <c r="F18" s="938"/>
      <c r="G18" s="511"/>
      <c r="H18" s="5"/>
    </row>
    <row r="19" spans="1:8" ht="12.75">
      <c r="A19" s="5" t="s">
        <v>222</v>
      </c>
      <c r="B19" s="212">
        <f t="shared" si="0"/>
        <v>1056.056074766355</v>
      </c>
      <c r="C19" s="212">
        <f>686+343+(33%*C18)</f>
        <v>1129.98</v>
      </c>
      <c r="D19" s="191">
        <f t="shared" si="4"/>
        <v>0.14537244307217292</v>
      </c>
      <c r="E19" s="191">
        <f t="shared" si="1"/>
        <v>0.1835276920578204</v>
      </c>
      <c r="F19" s="938">
        <f t="shared" si="2"/>
        <v>1426.560750365438</v>
      </c>
      <c r="G19" s="27"/>
      <c r="H19" s="5"/>
    </row>
    <row r="20" spans="1:8" ht="12.75">
      <c r="A20" s="5" t="s">
        <v>304</v>
      </c>
      <c r="B20" s="212"/>
      <c r="C20" s="5"/>
      <c r="D20" s="191"/>
      <c r="E20" s="191"/>
      <c r="F20" s="191"/>
      <c r="G20" s="5"/>
      <c r="H20" s="5"/>
    </row>
    <row r="21" spans="1:8" ht="12.75">
      <c r="A21" s="5" t="s">
        <v>90</v>
      </c>
      <c r="B21" s="212">
        <f t="shared" si="0"/>
        <v>225.23364485981307</v>
      </c>
      <c r="C21" s="5">
        <f>76+83+82</f>
        <v>241</v>
      </c>
      <c r="D21" s="191">
        <f t="shared" si="4"/>
        <v>0.03100476006689824</v>
      </c>
      <c r="E21" s="191"/>
      <c r="F21" s="191"/>
      <c r="G21" s="5"/>
      <c r="H21" s="5"/>
    </row>
    <row r="22" spans="1:8" ht="12.75">
      <c r="A22" s="5" t="s">
        <v>91</v>
      </c>
      <c r="B22" s="212">
        <f t="shared" si="0"/>
        <v>735.5140186915887</v>
      </c>
      <c r="C22" s="5">
        <f>490+233+64</f>
        <v>787</v>
      </c>
      <c r="D22" s="191">
        <f t="shared" si="4"/>
        <v>0.10124790943007848</v>
      </c>
      <c r="E22" s="191"/>
      <c r="F22" s="191"/>
      <c r="G22" s="5"/>
      <c r="H22" s="5"/>
    </row>
    <row r="23" spans="1:8" ht="12.75">
      <c r="A23" s="5"/>
      <c r="B23" s="212">
        <f t="shared" si="0"/>
        <v>0</v>
      </c>
      <c r="C23" s="5"/>
      <c r="D23" s="191"/>
      <c r="E23" s="191"/>
      <c r="F23" s="191"/>
      <c r="G23" s="5"/>
      <c r="H23" s="5"/>
    </row>
    <row r="24" spans="1:8" ht="12.75">
      <c r="A24" s="5" t="s">
        <v>254</v>
      </c>
      <c r="B24" s="212">
        <f t="shared" si="0"/>
        <v>549.5327102803737</v>
      </c>
      <c r="C24" s="5">
        <f>588</f>
        <v>588</v>
      </c>
      <c r="D24" s="191">
        <f>B24/$B$26</f>
        <v>0.07564646854496333</v>
      </c>
      <c r="E24" s="191"/>
      <c r="F24" s="191"/>
      <c r="G24" s="5"/>
      <c r="H24" s="5"/>
    </row>
    <row r="25" spans="1:8" ht="13.5" thickBot="1">
      <c r="A25" s="14"/>
      <c r="B25" s="213"/>
      <c r="C25" s="6"/>
      <c r="D25" s="507"/>
      <c r="E25" s="192"/>
      <c r="F25" s="192"/>
      <c r="G25" s="6"/>
      <c r="H25" s="6"/>
    </row>
    <row r="26" spans="1:8" ht="14.25" thickBot="1" thickTop="1">
      <c r="A26" s="274" t="s">
        <v>81</v>
      </c>
      <c r="B26" s="331">
        <f>C28/(1+7%)</f>
        <v>7264.48598130841</v>
      </c>
      <c r="C26" s="305"/>
      <c r="D26" s="332">
        <f>SUM(D8:D25)</f>
        <v>0.9999999999999999</v>
      </c>
      <c r="E26" s="332">
        <f>SUM(E8:E25)</f>
        <v>1.0000000000000002</v>
      </c>
      <c r="F26" s="332"/>
      <c r="G26" s="427">
        <f>SUM(G8:G25)</f>
        <v>1.0000000000000002</v>
      </c>
      <c r="H26" s="332">
        <f>SUM(H8:H25)</f>
        <v>1.0000000000000002</v>
      </c>
    </row>
    <row r="27" spans="1:8" ht="14.25" thickBot="1" thickTop="1">
      <c r="A27" s="76" t="s">
        <v>78</v>
      </c>
      <c r="B27" s="6"/>
      <c r="C27" s="63"/>
      <c r="D27" s="63"/>
      <c r="E27" s="63"/>
      <c r="F27" s="63"/>
      <c r="G27" s="63"/>
      <c r="H27" s="63"/>
    </row>
    <row r="28" spans="1:8" ht="14.25" thickBot="1" thickTop="1">
      <c r="A28" s="274" t="s">
        <v>79</v>
      </c>
      <c r="B28" s="298"/>
      <c r="C28" s="331">
        <f>SUM(C8:C17)+SUM(C19:C24)</f>
        <v>7773</v>
      </c>
      <c r="D28" s="298"/>
      <c r="E28" s="298"/>
      <c r="F28" s="939">
        <f>SUM(F8:F27)</f>
        <v>7773.000000000002</v>
      </c>
      <c r="G28" s="298"/>
      <c r="H28" s="298"/>
    </row>
    <row r="29" ht="14.25" thickBot="1" thickTop="1"/>
    <row r="30" spans="1:3" ht="14.25" thickBot="1" thickTop="1">
      <c r="A30" s="508"/>
      <c r="B30" s="512"/>
      <c r="C30" s="201" t="s">
        <v>713</v>
      </c>
    </row>
    <row r="31" ht="13.5" thickTop="1"/>
    <row r="32" ht="12.75">
      <c r="B32" s="472"/>
    </row>
  </sheetData>
  <sheetProtection/>
  <printOptions/>
  <pageMargins left="0.75" right="0.57" top="1" bottom="1" header="0.5" footer="0.5"/>
  <pageSetup horizontalDpi="300" verticalDpi="300" orientation="landscape" paperSize="9" r:id="rId1"/>
  <headerFooter alignWithMargins="0">
    <oddFooter>&amp;LConceptversie - 20 juni 2007 (Alleen te gebruiken voor interne doeleinden)&amp;RTabblad -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F2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9.421875" style="0" customWidth="1"/>
    <col min="2" max="2" width="12.8515625" style="0" bestFit="1" customWidth="1"/>
    <col min="3" max="3" width="11.8515625" style="0" bestFit="1" customWidth="1"/>
    <col min="4" max="4" width="10.8515625" style="0" bestFit="1" customWidth="1"/>
    <col min="5" max="5" width="11.28125" style="0" bestFit="1" customWidth="1"/>
    <col min="6" max="6" width="12.8515625" style="0" bestFit="1" customWidth="1"/>
  </cols>
  <sheetData>
    <row r="1" spans="1:6" ht="18.75" thickTop="1">
      <c r="A1" s="92" t="s">
        <v>170</v>
      </c>
      <c r="E1" s="911" t="s">
        <v>84</v>
      </c>
      <c r="F1" s="920"/>
    </row>
    <row r="2" spans="5:6" ht="13.5" thickBot="1">
      <c r="E2" s="913" t="s">
        <v>313</v>
      </c>
      <c r="F2" s="462"/>
    </row>
    <row r="3" ht="13.5" thickTop="1">
      <c r="A3" s="1" t="s">
        <v>168</v>
      </c>
    </row>
    <row r="5" spans="1:2" ht="12.75">
      <c r="A5" t="s">
        <v>149</v>
      </c>
      <c r="B5" s="104">
        <v>0.05</v>
      </c>
    </row>
    <row r="6" spans="1:3" ht="12.75">
      <c r="A6" t="s">
        <v>150</v>
      </c>
      <c r="B6">
        <v>10</v>
      </c>
      <c r="C6" s="101" t="s">
        <v>151</v>
      </c>
    </row>
    <row r="7" spans="1:2" ht="12.75">
      <c r="A7" t="s">
        <v>152</v>
      </c>
      <c r="B7" s="105">
        <f>'11A'!F40</f>
        <v>157110</v>
      </c>
    </row>
    <row r="8" spans="1:2" ht="12.75">
      <c r="A8" t="s">
        <v>153</v>
      </c>
      <c r="B8" s="819">
        <f>-PMT(B5,B6,B7,0,0)</f>
        <v>20346.4637728229</v>
      </c>
    </row>
    <row r="9" spans="2:3" ht="13.5" thickBot="1">
      <c r="B9" s="820">
        <f>B7*1.5%</f>
        <v>2356.65</v>
      </c>
      <c r="C9" t="s">
        <v>640</v>
      </c>
    </row>
    <row r="10" spans="1:2" ht="14.25" thickBot="1" thickTop="1">
      <c r="A10" s="822" t="s">
        <v>393</v>
      </c>
      <c r="B10" s="821">
        <f>SUM(B8:B9)</f>
        <v>22703.1137728229</v>
      </c>
    </row>
    <row r="11" ht="14.25" thickBot="1" thickTop="1"/>
    <row r="12" spans="1:6" ht="14.25" thickBot="1" thickTop="1">
      <c r="A12" s="287" t="s">
        <v>167</v>
      </c>
      <c r="B12" s="288" t="s">
        <v>154</v>
      </c>
      <c r="C12" s="288" t="s">
        <v>153</v>
      </c>
      <c r="D12" s="288" t="s">
        <v>149</v>
      </c>
      <c r="E12" s="288" t="s">
        <v>155</v>
      </c>
      <c r="F12" s="284" t="s">
        <v>63</v>
      </c>
    </row>
    <row r="13" spans="1:6" ht="13.5" thickTop="1">
      <c r="A13" s="13">
        <v>1</v>
      </c>
      <c r="B13" s="225">
        <f>B7</f>
        <v>157110</v>
      </c>
      <c r="C13" s="289">
        <f aca="true" t="shared" si="0" ref="C13:C22">$B$8</f>
        <v>20346.4637728229</v>
      </c>
      <c r="D13" s="225">
        <f>$B$5*B13</f>
        <v>7855.5</v>
      </c>
      <c r="E13" s="289">
        <f>C13-D13</f>
        <v>12490.963772822899</v>
      </c>
      <c r="F13" s="285">
        <f>B13-E13</f>
        <v>144619.0362271771</v>
      </c>
    </row>
    <row r="14" spans="1:6" ht="12.75">
      <c r="A14" s="18">
        <f aca="true" t="shared" si="1" ref="A14:A22">A13+1</f>
        <v>2</v>
      </c>
      <c r="B14" s="226">
        <f>F13</f>
        <v>144619.0362271771</v>
      </c>
      <c r="C14" s="290">
        <f t="shared" si="0"/>
        <v>20346.4637728229</v>
      </c>
      <c r="D14" s="226">
        <f aca="true" t="shared" si="2" ref="D14:D22">$B$5*B14</f>
        <v>7230.951811358856</v>
      </c>
      <c r="E14" s="290">
        <f aca="true" t="shared" si="3" ref="E14:E22">C14-D14</f>
        <v>13115.511961464043</v>
      </c>
      <c r="F14" s="240">
        <f aca="true" t="shared" si="4" ref="F14:F22">B14-E14</f>
        <v>131503.52426571306</v>
      </c>
    </row>
    <row r="15" spans="1:6" ht="12.75">
      <c r="A15" s="18">
        <f t="shared" si="1"/>
        <v>3</v>
      </c>
      <c r="B15" s="226">
        <f aca="true" t="shared" si="5" ref="B15:B22">F14</f>
        <v>131503.52426571306</v>
      </c>
      <c r="C15" s="290">
        <f t="shared" si="0"/>
        <v>20346.4637728229</v>
      </c>
      <c r="D15" s="226">
        <f t="shared" si="2"/>
        <v>6575.176213285653</v>
      </c>
      <c r="E15" s="290">
        <f t="shared" si="3"/>
        <v>13771.287559537246</v>
      </c>
      <c r="F15" s="240">
        <f t="shared" si="4"/>
        <v>117732.23670617581</v>
      </c>
    </row>
    <row r="16" spans="1:6" ht="12.75">
      <c r="A16" s="18">
        <f t="shared" si="1"/>
        <v>4</v>
      </c>
      <c r="B16" s="226">
        <f t="shared" si="5"/>
        <v>117732.23670617581</v>
      </c>
      <c r="C16" s="290">
        <f t="shared" si="0"/>
        <v>20346.4637728229</v>
      </c>
      <c r="D16" s="226">
        <f t="shared" si="2"/>
        <v>5886.611835308791</v>
      </c>
      <c r="E16" s="290">
        <f t="shared" si="3"/>
        <v>14459.851937514108</v>
      </c>
      <c r="F16" s="240">
        <f t="shared" si="4"/>
        <v>103272.38476866171</v>
      </c>
    </row>
    <row r="17" spans="1:6" ht="12.75">
      <c r="A17" s="18">
        <f t="shared" si="1"/>
        <v>5</v>
      </c>
      <c r="B17" s="226">
        <f t="shared" si="5"/>
        <v>103272.38476866171</v>
      </c>
      <c r="C17" s="290">
        <f t="shared" si="0"/>
        <v>20346.4637728229</v>
      </c>
      <c r="D17" s="226">
        <f t="shared" si="2"/>
        <v>5163.619238433086</v>
      </c>
      <c r="E17" s="290">
        <f t="shared" si="3"/>
        <v>15182.844534389813</v>
      </c>
      <c r="F17" s="240">
        <f t="shared" si="4"/>
        <v>88089.5402342719</v>
      </c>
    </row>
    <row r="18" spans="1:6" ht="12.75">
      <c r="A18" s="18">
        <f t="shared" si="1"/>
        <v>6</v>
      </c>
      <c r="B18" s="226">
        <f t="shared" si="5"/>
        <v>88089.5402342719</v>
      </c>
      <c r="C18" s="290">
        <f t="shared" si="0"/>
        <v>20346.4637728229</v>
      </c>
      <c r="D18" s="226">
        <f t="shared" si="2"/>
        <v>4404.477011713595</v>
      </c>
      <c r="E18" s="290">
        <f t="shared" si="3"/>
        <v>15941.986761109303</v>
      </c>
      <c r="F18" s="240">
        <f t="shared" si="4"/>
        <v>72147.5534731626</v>
      </c>
    </row>
    <row r="19" spans="1:6" ht="12.75">
      <c r="A19" s="18">
        <f t="shared" si="1"/>
        <v>7</v>
      </c>
      <c r="B19" s="226">
        <f t="shared" si="5"/>
        <v>72147.5534731626</v>
      </c>
      <c r="C19" s="290">
        <f t="shared" si="0"/>
        <v>20346.4637728229</v>
      </c>
      <c r="D19" s="226">
        <f t="shared" si="2"/>
        <v>3607.37767365813</v>
      </c>
      <c r="E19" s="290">
        <f t="shared" si="3"/>
        <v>16739.086099164768</v>
      </c>
      <c r="F19" s="240">
        <f t="shared" si="4"/>
        <v>55408.46737399783</v>
      </c>
    </row>
    <row r="20" spans="1:6" ht="12.75">
      <c r="A20" s="18">
        <f t="shared" si="1"/>
        <v>8</v>
      </c>
      <c r="B20" s="226">
        <f t="shared" si="5"/>
        <v>55408.46737399783</v>
      </c>
      <c r="C20" s="290">
        <f t="shared" si="0"/>
        <v>20346.4637728229</v>
      </c>
      <c r="D20" s="226">
        <f t="shared" si="2"/>
        <v>2770.423368699892</v>
      </c>
      <c r="E20" s="290">
        <f t="shared" si="3"/>
        <v>17576.040404123007</v>
      </c>
      <c r="F20" s="240">
        <f t="shared" si="4"/>
        <v>37832.426969874825</v>
      </c>
    </row>
    <row r="21" spans="1:6" ht="12.75">
      <c r="A21" s="18">
        <f t="shared" si="1"/>
        <v>9</v>
      </c>
      <c r="B21" s="226">
        <f t="shared" si="5"/>
        <v>37832.426969874825</v>
      </c>
      <c r="C21" s="290">
        <f t="shared" si="0"/>
        <v>20346.4637728229</v>
      </c>
      <c r="D21" s="226">
        <f t="shared" si="2"/>
        <v>1891.6213484937414</v>
      </c>
      <c r="E21" s="290">
        <f t="shared" si="3"/>
        <v>18454.84242432916</v>
      </c>
      <c r="F21" s="240">
        <f t="shared" si="4"/>
        <v>19377.584545545666</v>
      </c>
    </row>
    <row r="22" spans="1:6" ht="13.5" thickBot="1">
      <c r="A22" s="14">
        <f t="shared" si="1"/>
        <v>10</v>
      </c>
      <c r="B22" s="227">
        <f t="shared" si="5"/>
        <v>19377.584545545666</v>
      </c>
      <c r="C22" s="291">
        <f t="shared" si="0"/>
        <v>20346.4637728229</v>
      </c>
      <c r="D22" s="227">
        <f t="shared" si="2"/>
        <v>968.8792272772833</v>
      </c>
      <c r="E22" s="291">
        <f t="shared" si="3"/>
        <v>19377.584545545615</v>
      </c>
      <c r="F22" s="286">
        <f t="shared" si="4"/>
        <v>5.093170329928398E-11</v>
      </c>
    </row>
    <row r="23" ht="13.5" thickTop="1"/>
    <row r="24" ht="13.5" thickBot="1"/>
    <row r="25" spans="1:3" ht="13.5" thickTop="1">
      <c r="A25" s="44" t="s">
        <v>395</v>
      </c>
      <c r="B25" s="252" t="s">
        <v>224</v>
      </c>
      <c r="C25" s="253" t="s">
        <v>356</v>
      </c>
    </row>
    <row r="26" spans="1:3" ht="13.5" thickBot="1">
      <c r="A26" s="45"/>
      <c r="B26" s="461"/>
      <c r="C26" s="462"/>
    </row>
    <row r="27" spans="1:3" ht="14.25" thickBot="1" thickTop="1">
      <c r="A27" s="14" t="s">
        <v>481</v>
      </c>
      <c r="B27" s="242">
        <v>1</v>
      </c>
      <c r="C27" s="240">
        <f>B27*B10</f>
        <v>22703.1137728229</v>
      </c>
    </row>
    <row r="28" spans="1:3" ht="14.25" thickBot="1" thickTop="1">
      <c r="A28" s="22"/>
      <c r="B28" s="460">
        <f>SUM(B27:B27)</f>
        <v>1</v>
      </c>
      <c r="C28" s="249">
        <f>SUM(C27:C27)</f>
        <v>22703.1137728229</v>
      </c>
    </row>
    <row r="29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&amp;LConceptversie - 20 juni 2007 (Alleen te gebruiken voor interne doeleinden)&amp;RTabblad -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4.57421875" style="0" customWidth="1"/>
    <col min="2" max="2" width="20.00390625" style="0" customWidth="1"/>
    <col min="3" max="3" width="15.57421875" style="0" customWidth="1"/>
    <col min="4" max="4" width="12.8515625" style="0" customWidth="1"/>
    <col min="5" max="5" width="7.00390625" style="0" customWidth="1"/>
    <col min="6" max="6" width="12.8515625" style="0" customWidth="1"/>
  </cols>
  <sheetData>
    <row r="1" ht="13.5" thickBot="1"/>
    <row r="2" spans="1:7" ht="18.75" thickTop="1">
      <c r="A2" s="92" t="s">
        <v>479</v>
      </c>
      <c r="B2" s="92"/>
      <c r="C2" s="92"/>
      <c r="E2" s="924" t="s">
        <v>84</v>
      </c>
      <c r="F2" s="920"/>
      <c r="G2" s="94"/>
    </row>
    <row r="3" spans="1:7" ht="18.75" thickBot="1">
      <c r="A3" s="516"/>
      <c r="B3" s="516"/>
      <c r="C3" s="516"/>
      <c r="E3" s="925" t="s">
        <v>296</v>
      </c>
      <c r="F3" s="462"/>
      <c r="G3" s="94"/>
    </row>
    <row r="4" spans="5:7" ht="14.25" thickBot="1" thickTop="1">
      <c r="E4" s="7"/>
      <c r="G4" s="94"/>
    </row>
    <row r="5" spans="1:9" ht="13.5" thickTop="1">
      <c r="A5" s="250" t="s">
        <v>474</v>
      </c>
      <c r="B5" s="251" t="s">
        <v>477</v>
      </c>
      <c r="C5" s="251" t="s">
        <v>343</v>
      </c>
      <c r="D5" s="251" t="s">
        <v>475</v>
      </c>
      <c r="E5" s="525" t="s">
        <v>144</v>
      </c>
      <c r="F5" s="251" t="s">
        <v>30</v>
      </c>
      <c r="G5" s="517"/>
      <c r="H5" s="518"/>
      <c r="I5" s="518"/>
    </row>
    <row r="6" spans="1:9" ht="13.5" thickBot="1">
      <c r="A6" s="257"/>
      <c r="B6" s="316"/>
      <c r="C6" s="316"/>
      <c r="D6" s="316" t="s">
        <v>476</v>
      </c>
      <c r="E6" s="316"/>
      <c r="F6" s="316" t="s">
        <v>475</v>
      </c>
      <c r="G6" s="517"/>
      <c r="H6" s="518"/>
      <c r="I6" s="518"/>
    </row>
    <row r="7" spans="1:6" ht="13.5" thickTop="1">
      <c r="A7" s="13" t="s">
        <v>449</v>
      </c>
      <c r="B7" s="522" t="s">
        <v>448</v>
      </c>
      <c r="C7" s="15" t="s">
        <v>0</v>
      </c>
      <c r="D7" s="526">
        <v>200</v>
      </c>
      <c r="E7" s="527">
        <v>10</v>
      </c>
      <c r="F7" s="519">
        <f>D7*E7</f>
        <v>2000</v>
      </c>
    </row>
    <row r="8" spans="1:6" ht="12.75">
      <c r="A8" s="18" t="s">
        <v>450</v>
      </c>
      <c r="B8" s="523" t="s">
        <v>448</v>
      </c>
      <c r="C8" s="19" t="s">
        <v>0</v>
      </c>
      <c r="D8" s="83">
        <v>100</v>
      </c>
      <c r="E8" s="528">
        <v>50</v>
      </c>
      <c r="F8" s="520">
        <f aca="true" t="shared" si="0" ref="F8:F39">D8*E8</f>
        <v>5000</v>
      </c>
    </row>
    <row r="9" spans="1:6" ht="12.75">
      <c r="A9" s="18" t="s">
        <v>639</v>
      </c>
      <c r="B9" s="523" t="s">
        <v>448</v>
      </c>
      <c r="C9" s="19" t="s">
        <v>0</v>
      </c>
      <c r="D9" s="83">
        <v>2000</v>
      </c>
      <c r="E9" s="528">
        <v>1</v>
      </c>
      <c r="F9" s="520">
        <f t="shared" si="0"/>
        <v>2000</v>
      </c>
    </row>
    <row r="10" spans="1:6" ht="12.75">
      <c r="A10" s="18" t="s">
        <v>449</v>
      </c>
      <c r="B10" s="523" t="s">
        <v>451</v>
      </c>
      <c r="C10" s="19" t="s">
        <v>0</v>
      </c>
      <c r="D10" s="83">
        <v>200</v>
      </c>
      <c r="E10" s="528">
        <v>10</v>
      </c>
      <c r="F10" s="520">
        <f t="shared" si="0"/>
        <v>2000</v>
      </c>
    </row>
    <row r="11" spans="1:6" ht="12.75">
      <c r="A11" s="18" t="s">
        <v>450</v>
      </c>
      <c r="B11" s="523" t="s">
        <v>451</v>
      </c>
      <c r="C11" s="19" t="s">
        <v>0</v>
      </c>
      <c r="D11" s="83">
        <v>100</v>
      </c>
      <c r="E11" s="528">
        <v>50</v>
      </c>
      <c r="F11" s="520">
        <f t="shared" si="0"/>
        <v>5000</v>
      </c>
    </row>
    <row r="12" spans="1:6" ht="12.75">
      <c r="A12" s="18" t="s">
        <v>639</v>
      </c>
      <c r="B12" s="523" t="s">
        <v>451</v>
      </c>
      <c r="C12" s="19" t="s">
        <v>0</v>
      </c>
      <c r="D12" s="83">
        <v>2000</v>
      </c>
      <c r="E12" s="528">
        <v>1</v>
      </c>
      <c r="F12" s="520">
        <f t="shared" si="0"/>
        <v>2000</v>
      </c>
    </row>
    <row r="13" spans="1:6" ht="12.75">
      <c r="A13" s="18" t="s">
        <v>449</v>
      </c>
      <c r="B13" s="523" t="s">
        <v>452</v>
      </c>
      <c r="C13" s="19" t="s">
        <v>0</v>
      </c>
      <c r="D13" s="83">
        <v>200</v>
      </c>
      <c r="E13" s="528">
        <v>8</v>
      </c>
      <c r="F13" s="520">
        <f t="shared" si="0"/>
        <v>1600</v>
      </c>
    </row>
    <row r="14" spans="1:6" ht="12.75">
      <c r="A14" s="18" t="s">
        <v>450</v>
      </c>
      <c r="B14" s="523" t="s">
        <v>452</v>
      </c>
      <c r="C14" s="19" t="s">
        <v>0</v>
      </c>
      <c r="D14" s="83">
        <v>100</v>
      </c>
      <c r="E14" s="528">
        <v>20</v>
      </c>
      <c r="F14" s="520">
        <f t="shared" si="0"/>
        <v>2000</v>
      </c>
    </row>
    <row r="15" spans="1:6" ht="12.75">
      <c r="A15" s="18" t="s">
        <v>639</v>
      </c>
      <c r="B15" s="523" t="s">
        <v>452</v>
      </c>
      <c r="C15" s="19" t="s">
        <v>0</v>
      </c>
      <c r="D15" s="83">
        <v>2000</v>
      </c>
      <c r="E15" s="528">
        <v>1</v>
      </c>
      <c r="F15" s="520">
        <f t="shared" si="0"/>
        <v>2000</v>
      </c>
    </row>
    <row r="16" spans="1:6" ht="12.75">
      <c r="A16" s="18" t="s">
        <v>454</v>
      </c>
      <c r="B16" s="523" t="s">
        <v>453</v>
      </c>
      <c r="C16" s="19" t="s">
        <v>0</v>
      </c>
      <c r="D16" s="83">
        <v>200</v>
      </c>
      <c r="E16" s="528">
        <v>12</v>
      </c>
      <c r="F16" s="520">
        <f t="shared" si="0"/>
        <v>2400</v>
      </c>
    </row>
    <row r="17" spans="1:6" ht="12.75">
      <c r="A17" s="18" t="s">
        <v>455</v>
      </c>
      <c r="B17" s="523" t="s">
        <v>453</v>
      </c>
      <c r="C17" s="19" t="s">
        <v>0</v>
      </c>
      <c r="D17" s="83">
        <v>100</v>
      </c>
      <c r="E17" s="528">
        <v>50</v>
      </c>
      <c r="F17" s="520">
        <f t="shared" si="0"/>
        <v>5000</v>
      </c>
    </row>
    <row r="18" spans="1:6" ht="12.75">
      <c r="A18" s="18" t="s">
        <v>456</v>
      </c>
      <c r="B18" s="523" t="s">
        <v>453</v>
      </c>
      <c r="C18" s="19" t="s">
        <v>0</v>
      </c>
      <c r="D18" s="83">
        <v>400</v>
      </c>
      <c r="E18" s="528">
        <v>4</v>
      </c>
      <c r="F18" s="520">
        <f t="shared" si="0"/>
        <v>1600</v>
      </c>
    </row>
    <row r="19" spans="1:6" ht="12.75">
      <c r="A19" s="18" t="s">
        <v>457</v>
      </c>
      <c r="B19" s="523" t="s">
        <v>453</v>
      </c>
      <c r="C19" s="19" t="s">
        <v>0</v>
      </c>
      <c r="D19" s="83">
        <v>250</v>
      </c>
      <c r="E19" s="528">
        <v>8</v>
      </c>
      <c r="F19" s="520">
        <f t="shared" si="0"/>
        <v>2000</v>
      </c>
    </row>
    <row r="20" spans="1:6" ht="12.75">
      <c r="A20" s="18" t="s">
        <v>630</v>
      </c>
      <c r="B20" s="523" t="s">
        <v>453</v>
      </c>
      <c r="C20" s="19" t="s">
        <v>0</v>
      </c>
      <c r="D20" s="83">
        <v>2500</v>
      </c>
      <c r="E20" s="528">
        <v>1</v>
      </c>
      <c r="F20" s="520">
        <f t="shared" si="0"/>
        <v>2500</v>
      </c>
    </row>
    <row r="21" spans="1:6" ht="12.75">
      <c r="A21" s="18" t="s">
        <v>449</v>
      </c>
      <c r="B21" s="523" t="s">
        <v>458</v>
      </c>
      <c r="C21" s="19" t="s">
        <v>0</v>
      </c>
      <c r="D21" s="83">
        <v>200</v>
      </c>
      <c r="E21" s="528">
        <v>12</v>
      </c>
      <c r="F21" s="520">
        <f t="shared" si="0"/>
        <v>2400</v>
      </c>
    </row>
    <row r="22" spans="1:6" ht="12.75">
      <c r="A22" s="18" t="s">
        <v>450</v>
      </c>
      <c r="B22" s="523" t="s">
        <v>458</v>
      </c>
      <c r="C22" s="19" t="s">
        <v>0</v>
      </c>
      <c r="D22" s="83">
        <v>100</v>
      </c>
      <c r="E22" s="528">
        <v>50</v>
      </c>
      <c r="F22" s="520">
        <f t="shared" si="0"/>
        <v>5000</v>
      </c>
    </row>
    <row r="23" spans="1:6" ht="14.25">
      <c r="A23" s="18" t="s">
        <v>460</v>
      </c>
      <c r="B23" s="523" t="s">
        <v>459</v>
      </c>
      <c r="C23" s="19" t="s">
        <v>478</v>
      </c>
      <c r="D23" s="83">
        <v>200</v>
      </c>
      <c r="E23" s="528">
        <v>40</v>
      </c>
      <c r="F23" s="520">
        <f t="shared" si="0"/>
        <v>8000</v>
      </c>
    </row>
    <row r="24" spans="1:6" ht="14.25">
      <c r="A24" s="18" t="s">
        <v>461</v>
      </c>
      <c r="B24" s="523" t="s">
        <v>459</v>
      </c>
      <c r="C24" s="19" t="s">
        <v>478</v>
      </c>
      <c r="D24" s="83">
        <v>100</v>
      </c>
      <c r="E24" s="528">
        <v>100</v>
      </c>
      <c r="F24" s="520">
        <f t="shared" si="0"/>
        <v>10000</v>
      </c>
    </row>
    <row r="25" spans="1:6" ht="14.25">
      <c r="A25" s="18" t="s">
        <v>639</v>
      </c>
      <c r="B25" s="523" t="s">
        <v>459</v>
      </c>
      <c r="C25" s="19" t="s">
        <v>478</v>
      </c>
      <c r="D25" s="83">
        <v>2000</v>
      </c>
      <c r="E25" s="528">
        <v>5</v>
      </c>
      <c r="F25" s="520">
        <f t="shared" si="0"/>
        <v>10000</v>
      </c>
    </row>
    <row r="26" spans="1:6" ht="14.25">
      <c r="A26" s="18" t="s">
        <v>463</v>
      </c>
      <c r="B26" s="523" t="s">
        <v>462</v>
      </c>
      <c r="C26" s="19" t="s">
        <v>478</v>
      </c>
      <c r="D26" s="83">
        <v>660</v>
      </c>
      <c r="E26" s="528">
        <v>1</v>
      </c>
      <c r="F26" s="520">
        <f t="shared" si="0"/>
        <v>660</v>
      </c>
    </row>
    <row r="27" spans="1:6" ht="14.25">
      <c r="A27" s="18" t="s">
        <v>464</v>
      </c>
      <c r="B27" s="523" t="s">
        <v>462</v>
      </c>
      <c r="C27" s="19" t="s">
        <v>478</v>
      </c>
      <c r="D27" s="83">
        <v>510</v>
      </c>
      <c r="E27" s="528">
        <v>1</v>
      </c>
      <c r="F27" s="520">
        <f t="shared" si="0"/>
        <v>510</v>
      </c>
    </row>
    <row r="28" spans="1:6" ht="14.25">
      <c r="A28" s="18" t="s">
        <v>465</v>
      </c>
      <c r="B28" s="523" t="s">
        <v>462</v>
      </c>
      <c r="C28" s="19" t="s">
        <v>478</v>
      </c>
      <c r="D28" s="83">
        <v>1000</v>
      </c>
      <c r="E28" s="528">
        <v>1</v>
      </c>
      <c r="F28" s="520">
        <f t="shared" si="0"/>
        <v>1000</v>
      </c>
    </row>
    <row r="29" spans="1:6" ht="14.25">
      <c r="A29" s="18" t="s">
        <v>466</v>
      </c>
      <c r="B29" s="523" t="s">
        <v>462</v>
      </c>
      <c r="C29" s="19" t="s">
        <v>478</v>
      </c>
      <c r="D29" s="83">
        <v>2500</v>
      </c>
      <c r="E29" s="528">
        <v>1</v>
      </c>
      <c r="F29" s="520">
        <f t="shared" si="0"/>
        <v>2500</v>
      </c>
    </row>
    <row r="30" spans="1:6" ht="12.75">
      <c r="A30" s="18" t="s">
        <v>631</v>
      </c>
      <c r="B30" s="523" t="s">
        <v>467</v>
      </c>
      <c r="C30" s="19" t="s">
        <v>467</v>
      </c>
      <c r="D30" s="83">
        <v>39040</v>
      </c>
      <c r="E30" s="528">
        <v>1</v>
      </c>
      <c r="F30" s="520">
        <f t="shared" si="0"/>
        <v>39040</v>
      </c>
    </row>
    <row r="31" spans="1:6" ht="12.75">
      <c r="A31" s="18" t="s">
        <v>632</v>
      </c>
      <c r="B31" s="523" t="s">
        <v>467</v>
      </c>
      <c r="C31" s="19" t="s">
        <v>467</v>
      </c>
      <c r="D31" s="83">
        <v>7250</v>
      </c>
      <c r="E31" s="528">
        <v>1</v>
      </c>
      <c r="F31" s="520">
        <v>7250</v>
      </c>
    </row>
    <row r="32" spans="1:6" ht="12.75">
      <c r="A32" s="18" t="s">
        <v>480</v>
      </c>
      <c r="B32" s="523" t="s">
        <v>467</v>
      </c>
      <c r="C32" s="19" t="s">
        <v>467</v>
      </c>
      <c r="D32" s="83">
        <v>20000</v>
      </c>
      <c r="E32" s="528">
        <v>1</v>
      </c>
      <c r="F32" s="520">
        <f t="shared" si="0"/>
        <v>20000</v>
      </c>
    </row>
    <row r="33" spans="1:6" ht="12.75">
      <c r="A33" s="18" t="s">
        <v>633</v>
      </c>
      <c r="B33" s="523" t="s">
        <v>467</v>
      </c>
      <c r="C33" s="19" t="s">
        <v>467</v>
      </c>
      <c r="D33" s="83">
        <v>150</v>
      </c>
      <c r="E33" s="528">
        <v>5</v>
      </c>
      <c r="F33" s="520">
        <f t="shared" si="0"/>
        <v>750</v>
      </c>
    </row>
    <row r="34" spans="1:6" ht="12.75">
      <c r="A34" s="18" t="s">
        <v>468</v>
      </c>
      <c r="B34" s="523" t="s">
        <v>467</v>
      </c>
      <c r="C34" s="19" t="s">
        <v>467</v>
      </c>
      <c r="D34" s="83">
        <v>150</v>
      </c>
      <c r="E34" s="528">
        <v>4</v>
      </c>
      <c r="F34" s="520">
        <f t="shared" si="0"/>
        <v>600</v>
      </c>
    </row>
    <row r="35" spans="1:6" ht="12.75">
      <c r="A35" s="18" t="s">
        <v>469</v>
      </c>
      <c r="B35" s="523" t="s">
        <v>467</v>
      </c>
      <c r="C35" s="19" t="s">
        <v>467</v>
      </c>
      <c r="D35" s="83">
        <v>100</v>
      </c>
      <c r="E35" s="528">
        <v>2</v>
      </c>
      <c r="F35" s="520">
        <f t="shared" si="0"/>
        <v>200</v>
      </c>
    </row>
    <row r="36" spans="1:6" ht="12.75">
      <c r="A36" s="18" t="s">
        <v>470</v>
      </c>
      <c r="B36" s="523" t="s">
        <v>467</v>
      </c>
      <c r="C36" s="19" t="s">
        <v>467</v>
      </c>
      <c r="D36" s="83">
        <v>5500</v>
      </c>
      <c r="E36" s="528">
        <v>1</v>
      </c>
      <c r="F36" s="520">
        <f t="shared" si="0"/>
        <v>5500</v>
      </c>
    </row>
    <row r="37" spans="1:6" ht="12.75">
      <c r="A37" s="18" t="s">
        <v>471</v>
      </c>
      <c r="B37" s="523" t="s">
        <v>467</v>
      </c>
      <c r="C37" s="19" t="s">
        <v>467</v>
      </c>
      <c r="D37" s="83">
        <v>4500</v>
      </c>
      <c r="E37" s="528">
        <v>1</v>
      </c>
      <c r="F37" s="520">
        <f t="shared" si="0"/>
        <v>4500</v>
      </c>
    </row>
    <row r="38" spans="1:6" ht="12.75">
      <c r="A38" s="18" t="s">
        <v>472</v>
      </c>
      <c r="B38" s="523" t="s">
        <v>467</v>
      </c>
      <c r="C38" s="19" t="s">
        <v>467</v>
      </c>
      <c r="D38" s="83">
        <v>2000</v>
      </c>
      <c r="E38" s="528">
        <v>1</v>
      </c>
      <c r="F38" s="520">
        <f t="shared" si="0"/>
        <v>2000</v>
      </c>
    </row>
    <row r="39" spans="1:6" ht="13.5" thickBot="1">
      <c r="A39" s="14" t="s">
        <v>473</v>
      </c>
      <c r="B39" s="524" t="s">
        <v>467</v>
      </c>
      <c r="C39" s="16" t="s">
        <v>467</v>
      </c>
      <c r="D39" s="84">
        <v>100</v>
      </c>
      <c r="E39" s="529">
        <v>1</v>
      </c>
      <c r="F39" s="521">
        <f t="shared" si="0"/>
        <v>100</v>
      </c>
    </row>
    <row r="40" spans="1:6" ht="14.25" thickBot="1" thickTop="1">
      <c r="A40" s="816"/>
      <c r="B40" s="817"/>
      <c r="C40" s="817"/>
      <c r="D40" s="817"/>
      <c r="E40" s="817"/>
      <c r="F40" s="818">
        <f>SUBTOTAL(9,F7:F39)</f>
        <v>157110</v>
      </c>
    </row>
    <row r="41" ht="13.5" thickTop="1"/>
  </sheetData>
  <sheetProtection/>
  <autoFilter ref="A5:F39"/>
  <printOptions/>
  <pageMargins left="0.75" right="0.75" top="1" bottom="1" header="0.5" footer="0.5"/>
  <pageSetup fitToHeight="1" fitToWidth="1" horizontalDpi="600" verticalDpi="600" orientation="portrait" paperSize="9" scale="84" r:id="rId3"/>
  <headerFooter alignWithMargins="0">
    <oddFooter>&amp;LConceptversie - 20 juni 2007 (Alleen te gebruiken voor interne doeleinden)&amp;RTabblad - &amp;A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13"/>
  <dimension ref="A1:H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8.421875" style="0" customWidth="1"/>
    <col min="2" max="2" width="10.8515625" style="0" bestFit="1" customWidth="1"/>
  </cols>
  <sheetData>
    <row r="1" spans="1:8" ht="21" thickTop="1">
      <c r="A1" s="4" t="s">
        <v>290</v>
      </c>
      <c r="G1" s="911" t="s">
        <v>84</v>
      </c>
      <c r="H1" s="912"/>
    </row>
    <row r="2" spans="1:8" ht="21" thickBot="1">
      <c r="A2" s="4"/>
      <c r="G2" s="913" t="s">
        <v>355</v>
      </c>
      <c r="H2" s="914"/>
    </row>
    <row r="3" ht="13.5" thickTop="1"/>
    <row r="4" ht="12.75">
      <c r="A4" s="1" t="s">
        <v>620</v>
      </c>
    </row>
    <row r="5" ht="13.5" thickBot="1">
      <c r="A5" s="1"/>
    </row>
    <row r="6" spans="1:2" ht="14.25" thickBot="1" thickTop="1">
      <c r="A6" s="274" t="s">
        <v>135</v>
      </c>
      <c r="B6" s="31" t="s">
        <v>618</v>
      </c>
    </row>
    <row r="7" spans="1:2" ht="13.5" thickTop="1">
      <c r="A7" s="13" t="s">
        <v>619</v>
      </c>
      <c r="B7" s="673">
        <v>2.9</v>
      </c>
    </row>
    <row r="8" spans="1:3" ht="13.5" thickBot="1">
      <c r="A8" s="14" t="s">
        <v>259</v>
      </c>
      <c r="B8" s="674">
        <f>Oppervlaktes!C19+Oppervlaktes!C17</f>
        <v>1208.98</v>
      </c>
      <c r="C8" s="193"/>
    </row>
    <row r="9" spans="1:2" ht="14.25" thickBot="1" thickTop="1">
      <c r="A9" s="22" t="s">
        <v>288</v>
      </c>
      <c r="B9" s="249">
        <f>B7*B8</f>
        <v>3506.042</v>
      </c>
    </row>
    <row r="10" ht="13.5" thickTop="1"/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Footer>&amp;LConceptversie - 20 juni 2007 (Alleen te gebruiken voor interne doeleinden)&amp;RTabblad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5">
      <selection activeCell="E11" sqref="E11:F26"/>
    </sheetView>
  </sheetViews>
  <sheetFormatPr defaultColWidth="9.140625" defaultRowHeight="12.75"/>
  <cols>
    <col min="1" max="1" width="19.00390625" style="0" customWidth="1"/>
    <col min="2" max="2" width="16.28125" style="0" bestFit="1" customWidth="1"/>
    <col min="3" max="3" width="14.00390625" style="0" bestFit="1" customWidth="1"/>
    <col min="4" max="4" width="11.8515625" style="0" bestFit="1" customWidth="1"/>
    <col min="5" max="5" width="15.7109375" style="0" customWidth="1"/>
    <col min="6" max="6" width="17.00390625" style="0" customWidth="1"/>
  </cols>
  <sheetData>
    <row r="1" spans="1:7" ht="21" thickTop="1">
      <c r="A1" s="4" t="s">
        <v>435</v>
      </c>
      <c r="F1" s="911" t="s">
        <v>434</v>
      </c>
      <c r="G1" s="912"/>
    </row>
    <row r="2" spans="6:7" ht="13.5" thickBot="1">
      <c r="F2" s="913" t="s">
        <v>355</v>
      </c>
      <c r="G2" s="914"/>
    </row>
    <row r="3" ht="13.5" thickTop="1">
      <c r="A3" s="1" t="s">
        <v>699</v>
      </c>
    </row>
    <row r="4" ht="12.75">
      <c r="A4" s="1"/>
    </row>
    <row r="5" ht="12.75">
      <c r="A5" s="73" t="s">
        <v>710</v>
      </c>
    </row>
    <row r="7" ht="12.75">
      <c r="A7" t="s">
        <v>436</v>
      </c>
    </row>
    <row r="8" spans="1:4" ht="12.75">
      <c r="A8" t="s">
        <v>420</v>
      </c>
      <c r="B8">
        <v>900</v>
      </c>
      <c r="C8" t="s">
        <v>421</v>
      </c>
      <c r="D8" t="s">
        <v>422</v>
      </c>
    </row>
    <row r="10" ht="13.5" thickBot="1"/>
    <row r="11" spans="1:6" ht="14.25" thickBot="1" thickTop="1">
      <c r="A11" s="917">
        <v>2006</v>
      </c>
      <c r="B11" s="500" t="s">
        <v>444</v>
      </c>
      <c r="C11" s="500" t="s">
        <v>443</v>
      </c>
      <c r="D11" s="501" t="s">
        <v>30</v>
      </c>
      <c r="E11" s="951" t="s">
        <v>740</v>
      </c>
      <c r="F11" s="951" t="s">
        <v>741</v>
      </c>
    </row>
    <row r="12" spans="1:6" ht="13.5" thickTop="1">
      <c r="A12" s="492" t="s">
        <v>423</v>
      </c>
      <c r="B12" s="15"/>
      <c r="C12" s="15"/>
      <c r="D12" s="8"/>
      <c r="E12" s="947"/>
      <c r="F12" s="937"/>
    </row>
    <row r="13" spans="1:6" ht="12.75">
      <c r="A13" s="493" t="s">
        <v>424</v>
      </c>
      <c r="B13" s="496">
        <v>1216.73</v>
      </c>
      <c r="C13" s="496">
        <f>B8*12.82</f>
        <v>11538</v>
      </c>
      <c r="D13" s="488">
        <f>B13+C13</f>
        <v>12754.73</v>
      </c>
      <c r="E13" s="949">
        <f>D13*(1+$B$28)</f>
        <v>12953.703788</v>
      </c>
      <c r="F13" s="938">
        <f>E13/(1+'Exploitatie MFC'!$B$13)</f>
        <v>10885.465368067227</v>
      </c>
    </row>
    <row r="14" spans="1:6" ht="12.75">
      <c r="A14" s="493" t="s">
        <v>425</v>
      </c>
      <c r="B14" s="496">
        <v>40.99</v>
      </c>
      <c r="C14" s="496">
        <f>B8*0.4</f>
        <v>360</v>
      </c>
      <c r="D14" s="488">
        <f>B14+C14</f>
        <v>400.99</v>
      </c>
      <c r="E14" s="949">
        <f aca="true" t="shared" si="0" ref="E14:E24">D14*(1+$B$28)</f>
        <v>407.245444</v>
      </c>
      <c r="F14" s="938">
        <f>E14/(1+'Exploitatie MFC'!$B$13)</f>
        <v>342.223062184874</v>
      </c>
    </row>
    <row r="15" spans="1:6" ht="12.75">
      <c r="A15" s="18" t="s">
        <v>241</v>
      </c>
      <c r="B15" s="496">
        <v>0</v>
      </c>
      <c r="C15" s="496">
        <f>B8*17.08</f>
        <v>15371.999999999998</v>
      </c>
      <c r="D15" s="488">
        <f>B15+C15</f>
        <v>15371.999999999998</v>
      </c>
      <c r="E15" s="949">
        <f t="shared" si="0"/>
        <v>15611.803199999998</v>
      </c>
      <c r="F15" s="938">
        <f>E15/(1+'Exploitatie MFC'!$B$13)</f>
        <v>13119.162352941175</v>
      </c>
    </row>
    <row r="16" spans="1:6" ht="12.75">
      <c r="A16" s="18"/>
      <c r="B16" s="496"/>
      <c r="C16" s="496"/>
      <c r="D16" s="488"/>
      <c r="E16" s="949">
        <f t="shared" si="0"/>
        <v>0</v>
      </c>
      <c r="F16" s="938">
        <f>E16/(1+'Exploitatie MFC'!$B$13)</f>
        <v>0</v>
      </c>
    </row>
    <row r="17" spans="1:6" ht="12.75">
      <c r="A17" s="494" t="s">
        <v>426</v>
      </c>
      <c r="B17" s="496"/>
      <c r="C17" s="496"/>
      <c r="D17" s="488"/>
      <c r="E17" s="949">
        <f t="shared" si="0"/>
        <v>0</v>
      </c>
      <c r="F17" s="938">
        <f>E17/(1+'Exploitatie MFC'!$B$13)</f>
        <v>0</v>
      </c>
    </row>
    <row r="18" spans="1:6" ht="12.75">
      <c r="A18" s="495" t="s">
        <v>427</v>
      </c>
      <c r="B18" s="496">
        <v>78.73</v>
      </c>
      <c r="C18" s="496">
        <f>B8*1.37</f>
        <v>1233</v>
      </c>
      <c r="D18" s="488">
        <f>B18+C18</f>
        <v>1311.73</v>
      </c>
      <c r="E18" s="949">
        <f t="shared" si="0"/>
        <v>1332.192988</v>
      </c>
      <c r="F18" s="938">
        <f>E18/(1+'Exploitatie MFC'!$B$13)</f>
        <v>1119.489905882353</v>
      </c>
    </row>
    <row r="19" spans="1:6" ht="12.75">
      <c r="A19" s="495" t="s">
        <v>428</v>
      </c>
      <c r="B19" s="496">
        <v>27.62</v>
      </c>
      <c r="C19" s="496">
        <f>B8*5.73</f>
        <v>5157</v>
      </c>
      <c r="D19" s="488">
        <f>B19+C19</f>
        <v>5184.62</v>
      </c>
      <c r="E19" s="949">
        <f t="shared" si="0"/>
        <v>5265.500072</v>
      </c>
      <c r="F19" s="938">
        <f>E19/(1+'Exploitatie MFC'!$B$13)</f>
        <v>4424.789976470588</v>
      </c>
    </row>
    <row r="20" spans="1:6" ht="12.75">
      <c r="A20" s="495" t="s">
        <v>429</v>
      </c>
      <c r="B20" s="496">
        <v>36.03</v>
      </c>
      <c r="C20" s="496">
        <f>B8*0.4</f>
        <v>360</v>
      </c>
      <c r="D20" s="488">
        <f>B20+C20</f>
        <v>396.03</v>
      </c>
      <c r="E20" s="949">
        <f t="shared" si="0"/>
        <v>402.20806799999997</v>
      </c>
      <c r="F20" s="938">
        <f>E20/(1+'Exploitatie MFC'!$B$13)</f>
        <v>337.9899731092437</v>
      </c>
    </row>
    <row r="21" spans="1:6" ht="12.75">
      <c r="A21" s="18"/>
      <c r="B21" s="496"/>
      <c r="C21" s="496"/>
      <c r="D21" s="488"/>
      <c r="E21" s="949">
        <f t="shared" si="0"/>
        <v>0</v>
      </c>
      <c r="F21" s="938">
        <f>E21/(1+'Exploitatie MFC'!$B$13)</f>
        <v>0</v>
      </c>
    </row>
    <row r="22" spans="1:6" ht="12.75">
      <c r="A22" s="18" t="s">
        <v>430</v>
      </c>
      <c r="B22" s="496">
        <v>326.08</v>
      </c>
      <c r="C22" s="496">
        <f>B8*1.76</f>
        <v>1584</v>
      </c>
      <c r="D22" s="488">
        <f>B22+C22</f>
        <v>1910.08</v>
      </c>
      <c r="E22" s="949">
        <f t="shared" si="0"/>
        <v>1939.877248</v>
      </c>
      <c r="F22" s="938">
        <f>E22/(1+'Exploitatie MFC'!$B$13)</f>
        <v>1630.1489478991598</v>
      </c>
    </row>
    <row r="23" spans="1:6" ht="12.75">
      <c r="A23" s="18"/>
      <c r="B23" s="496"/>
      <c r="C23" s="496"/>
      <c r="D23" s="488"/>
      <c r="E23" s="949">
        <f t="shared" si="0"/>
        <v>0</v>
      </c>
      <c r="F23" s="938">
        <f>E23/(1+'Exploitatie MFC'!$B$13)</f>
        <v>0</v>
      </c>
    </row>
    <row r="24" spans="1:6" ht="12.75">
      <c r="A24" s="18" t="s">
        <v>431</v>
      </c>
      <c r="B24" s="496">
        <v>455.42</v>
      </c>
      <c r="C24" s="496">
        <f>B8*3.16</f>
        <v>2844</v>
      </c>
      <c r="D24" s="488">
        <f>B24+C24</f>
        <v>3299.42</v>
      </c>
      <c r="E24" s="949">
        <f t="shared" si="0"/>
        <v>3350.890952</v>
      </c>
      <c r="F24" s="938">
        <f>E24/(1+'Exploitatie MFC'!$B$13)</f>
        <v>2815.874749579832</v>
      </c>
    </row>
    <row r="25" spans="1:6" ht="13.5" thickBot="1">
      <c r="A25" s="14"/>
      <c r="B25" s="497"/>
      <c r="C25" s="497"/>
      <c r="D25" s="489"/>
      <c r="E25" s="948"/>
      <c r="F25" s="950"/>
    </row>
    <row r="26" spans="1:6" ht="14.25" thickBot="1" thickTop="1">
      <c r="A26" s="22"/>
      <c r="B26" s="498"/>
      <c r="C26" s="499" t="s">
        <v>432</v>
      </c>
      <c r="D26" s="490">
        <f>SUM(D13:D24)</f>
        <v>40629.6</v>
      </c>
      <c r="F26" s="952">
        <f>SUM(F12:F25)</f>
        <v>34675.14433613446</v>
      </c>
    </row>
    <row r="27" ht="14.25" thickBot="1" thickTop="1"/>
    <row r="28" spans="1:4" ht="14.25" thickBot="1" thickTop="1">
      <c r="A28" s="198" t="s">
        <v>711</v>
      </c>
      <c r="B28" s="915">
        <f>'Exploitatie MFC'!B12</f>
        <v>0.0156</v>
      </c>
      <c r="C28" s="29"/>
      <c r="D28" s="490">
        <f>D26+(D26*B28)</f>
        <v>41263.42176</v>
      </c>
    </row>
    <row r="29" ht="13.5" thickTop="1"/>
    <row r="30" ht="13.5" thickBot="1">
      <c r="B30" s="11"/>
    </row>
    <row r="31" spans="1:4" ht="14.25" thickBot="1" thickTop="1">
      <c r="A31" s="491" t="s">
        <v>657</v>
      </c>
      <c r="B31" s="26"/>
      <c r="C31" s="29"/>
      <c r="D31" s="490">
        <f>ROUND(D28,0)</f>
        <v>41263</v>
      </c>
    </row>
    <row r="32" ht="13.5" thickTop="1"/>
    <row r="33" ht="12.75">
      <c r="A33" t="s">
        <v>433</v>
      </c>
    </row>
    <row r="34" ht="13.5" thickBot="1"/>
    <row r="35" spans="1:4" ht="14.25" thickBot="1" thickTop="1">
      <c r="A35" s="491" t="s">
        <v>658</v>
      </c>
      <c r="B35" s="26"/>
      <c r="C35" s="29"/>
      <c r="D35" s="490">
        <f>D31/(1+'Exploitatie MFC'!B13)</f>
        <v>34674.78991596639</v>
      </c>
    </row>
    <row r="36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84" r:id="rId3"/>
  <headerFooter alignWithMargins="0">
    <oddFooter>&amp;LConceptversie - 20 juni 2007 (Alleen te gebruiken voor interne doeleinden)&amp;RTabblad - &amp;A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0">
      <selection activeCell="F17" sqref="F17:F19"/>
    </sheetView>
  </sheetViews>
  <sheetFormatPr defaultColWidth="9.140625" defaultRowHeight="12.75"/>
  <cols>
    <col min="1" max="1" width="20.28125" style="0" customWidth="1"/>
    <col min="2" max="2" width="16.8515625" style="0" customWidth="1"/>
    <col min="3" max="3" width="15.00390625" style="0" customWidth="1"/>
    <col min="4" max="4" width="12.28125" style="0" customWidth="1"/>
    <col min="5" max="5" width="11.00390625" style="0" bestFit="1" customWidth="1"/>
    <col min="6" max="6" width="15.57421875" style="0" bestFit="1" customWidth="1"/>
  </cols>
  <sheetData>
    <row r="1" spans="1:7" ht="21" thickTop="1">
      <c r="A1" s="4" t="s">
        <v>417</v>
      </c>
      <c r="F1" s="911" t="s">
        <v>434</v>
      </c>
      <c r="G1" s="912"/>
    </row>
    <row r="2" spans="6:7" ht="13.5" thickBot="1">
      <c r="F2" s="913" t="s">
        <v>355</v>
      </c>
      <c r="G2" s="914"/>
    </row>
    <row r="3" ht="13.5" thickTop="1">
      <c r="A3" s="1" t="s">
        <v>418</v>
      </c>
    </row>
    <row r="4" ht="12.75">
      <c r="A4" s="1"/>
    </row>
    <row r="5" ht="12.75">
      <c r="A5" s="73" t="s">
        <v>710</v>
      </c>
    </row>
    <row r="7" ht="12.75">
      <c r="A7" t="s">
        <v>419</v>
      </c>
    </row>
    <row r="8" spans="1:4" ht="12.75">
      <c r="A8" t="s">
        <v>420</v>
      </c>
      <c r="B8">
        <v>1590</v>
      </c>
      <c r="C8" t="s">
        <v>421</v>
      </c>
      <c r="D8" t="s">
        <v>422</v>
      </c>
    </row>
    <row r="9" ht="13.5" thickBot="1"/>
    <row r="10" spans="1:6" ht="14.25" thickBot="1" thickTop="1">
      <c r="A10" s="917">
        <v>2006</v>
      </c>
      <c r="B10" s="500" t="s">
        <v>444</v>
      </c>
      <c r="C10" s="500" t="s">
        <v>443</v>
      </c>
      <c r="D10" s="501" t="s">
        <v>30</v>
      </c>
      <c r="E10" s="951" t="s">
        <v>740</v>
      </c>
      <c r="F10" s="951" t="s">
        <v>741</v>
      </c>
    </row>
    <row r="11" spans="1:6" ht="13.5" thickTop="1">
      <c r="A11" s="492" t="s">
        <v>423</v>
      </c>
      <c r="B11" s="15"/>
      <c r="C11" s="15"/>
      <c r="D11" s="8"/>
      <c r="E11" s="947"/>
      <c r="F11" s="937"/>
    </row>
    <row r="12" spans="1:6" ht="12.75">
      <c r="A12" s="493" t="s">
        <v>424</v>
      </c>
      <c r="B12" s="496">
        <v>1216.73</v>
      </c>
      <c r="C12" s="496">
        <f>B8*12.82</f>
        <v>20383.8</v>
      </c>
      <c r="D12" s="488">
        <f>B12+C12</f>
        <v>21600.53</v>
      </c>
      <c r="E12" s="949">
        <f>D12*(1+$B$27)</f>
        <v>21937.498268</v>
      </c>
      <c r="F12" s="938">
        <f>E12/(1+'Exploitatie MFC'!$B$13)</f>
        <v>18434.872494117648</v>
      </c>
    </row>
    <row r="13" spans="1:6" ht="12.75">
      <c r="A13" s="493" t="s">
        <v>425</v>
      </c>
      <c r="B13" s="496">
        <v>40.99</v>
      </c>
      <c r="C13" s="496">
        <f>B8*0.4</f>
        <v>636</v>
      </c>
      <c r="D13" s="488">
        <f>B13+C13</f>
        <v>676.99</v>
      </c>
      <c r="E13" s="949">
        <f>D13*(1+$B$27)</f>
        <v>687.551044</v>
      </c>
      <c r="F13" s="938">
        <f>E13/(1+'Exploitatie MFC'!$B$13)</f>
        <v>577.773986554622</v>
      </c>
    </row>
    <row r="14" spans="1:6" ht="12.75">
      <c r="A14" s="18" t="s">
        <v>241</v>
      </c>
      <c r="B14" s="496">
        <v>0</v>
      </c>
      <c r="C14" s="496">
        <f>B8*17.08</f>
        <v>27157.199999999997</v>
      </c>
      <c r="D14" s="488">
        <f>B14+C14</f>
        <v>27157.199999999997</v>
      </c>
      <c r="E14" s="949">
        <f>D14*(1+$B$27)</f>
        <v>27580.852319999998</v>
      </c>
      <c r="F14" s="938">
        <f>E14/(1+'Exploitatie MFC'!$B$13)</f>
        <v>23177.18682352941</v>
      </c>
    </row>
    <row r="15" spans="1:6" ht="12.75">
      <c r="A15" s="18"/>
      <c r="B15" s="496"/>
      <c r="C15" s="496"/>
      <c r="D15" s="488"/>
      <c r="E15" s="949">
        <f>D15*(1+$B$28)</f>
        <v>0</v>
      </c>
      <c r="F15" s="938">
        <f>E15/(1+'Exploitatie MFC'!$B$13)</f>
        <v>0</v>
      </c>
    </row>
    <row r="16" spans="1:6" ht="12.75">
      <c r="A16" s="494" t="s">
        <v>426</v>
      </c>
      <c r="B16" s="496"/>
      <c r="C16" s="496"/>
      <c r="D16" s="488"/>
      <c r="E16" s="949">
        <f>D16*(1+$B$28)</f>
        <v>0</v>
      </c>
      <c r="F16" s="938">
        <f>E16/(1+'Exploitatie MFC'!$B$13)</f>
        <v>0</v>
      </c>
    </row>
    <row r="17" spans="1:6" ht="12.75">
      <c r="A17" s="495" t="s">
        <v>427</v>
      </c>
      <c r="B17" s="496">
        <v>78.73</v>
      </c>
      <c r="C17" s="496">
        <f>B8*1.37</f>
        <v>2178.3</v>
      </c>
      <c r="D17" s="488">
        <f>B17+C17</f>
        <v>2257.03</v>
      </c>
      <c r="E17" s="949">
        <f>D17*(1+$B$27)</f>
        <v>2292.239668</v>
      </c>
      <c r="F17" s="938">
        <f>E17/(1+'Exploitatie MFC'!$B$13)</f>
        <v>1926.2518218487396</v>
      </c>
    </row>
    <row r="18" spans="1:6" ht="12.75">
      <c r="A18" s="495" t="s">
        <v>428</v>
      </c>
      <c r="B18" s="496">
        <v>27.62</v>
      </c>
      <c r="C18" s="496">
        <f>B8*5.73</f>
        <v>9110.7</v>
      </c>
      <c r="D18" s="488">
        <f>B18+C18</f>
        <v>9138.320000000002</v>
      </c>
      <c r="E18" s="949">
        <f>D18*(1+$B$27)</f>
        <v>9280.877792000003</v>
      </c>
      <c r="F18" s="938">
        <f>E18/(1+'Exploitatie MFC'!$B$13)</f>
        <v>7799.05696806723</v>
      </c>
    </row>
    <row r="19" spans="1:6" ht="12.75">
      <c r="A19" s="495" t="s">
        <v>429</v>
      </c>
      <c r="B19" s="496">
        <v>36.03</v>
      </c>
      <c r="C19" s="496">
        <f>B8*0.4</f>
        <v>636</v>
      </c>
      <c r="D19" s="488">
        <f>B19+C19</f>
        <v>672.03</v>
      </c>
      <c r="E19" s="949">
        <f>D19*(1+$B$27)</f>
        <v>682.513668</v>
      </c>
      <c r="F19" s="938">
        <f>E19/(1+'Exploitatie MFC'!$B$13)</f>
        <v>573.5408974789916</v>
      </c>
    </row>
    <row r="20" spans="1:6" ht="12.75">
      <c r="A20" s="18"/>
      <c r="B20" s="496"/>
      <c r="C20" s="496"/>
      <c r="D20" s="488"/>
      <c r="E20" s="949">
        <f>D20*(1+$B$28)</f>
        <v>0</v>
      </c>
      <c r="F20" s="938">
        <f>E20/(1+'Exploitatie MFC'!$B$13)</f>
        <v>0</v>
      </c>
    </row>
    <row r="21" spans="1:6" ht="12.75">
      <c r="A21" s="18" t="s">
        <v>430</v>
      </c>
      <c r="B21" s="496">
        <v>326.08</v>
      </c>
      <c r="C21" s="496">
        <f>B8*1.76</f>
        <v>2798.4</v>
      </c>
      <c r="D21" s="488">
        <f>B21+C21</f>
        <v>3124.48</v>
      </c>
      <c r="E21" s="949">
        <f>D21*(1+$B$27)</f>
        <v>3173.221888</v>
      </c>
      <c r="F21" s="938">
        <f>E21/(1+'Exploitatie MFC'!$B$13)</f>
        <v>2666.5730151260504</v>
      </c>
    </row>
    <row r="22" spans="1:6" ht="12.75">
      <c r="A22" s="18"/>
      <c r="B22" s="496"/>
      <c r="C22" s="496"/>
      <c r="D22" s="488"/>
      <c r="E22" s="949">
        <f>D22*(1+$B$28)</f>
        <v>0</v>
      </c>
      <c r="F22" s="938">
        <f>E22/(1+'Exploitatie MFC'!$B$13)</f>
        <v>0</v>
      </c>
    </row>
    <row r="23" spans="1:6" ht="12.75">
      <c r="A23" s="18" t="s">
        <v>431</v>
      </c>
      <c r="B23" s="496">
        <v>455.42</v>
      </c>
      <c r="C23" s="496">
        <f>B8*3.16</f>
        <v>5024.400000000001</v>
      </c>
      <c r="D23" s="488">
        <f>B23+C23</f>
        <v>5479.820000000001</v>
      </c>
      <c r="E23" s="949">
        <f>D23*(1+$B$27)</f>
        <v>5565.305192000001</v>
      </c>
      <c r="F23" s="938">
        <f>E23/(1+'Exploitatie MFC'!$B$13)</f>
        <v>4676.727052100841</v>
      </c>
    </row>
    <row r="24" spans="1:6" ht="13.5" thickBot="1">
      <c r="A24" s="14"/>
      <c r="B24" s="497"/>
      <c r="C24" s="497"/>
      <c r="D24" s="489"/>
      <c r="E24" s="948"/>
      <c r="F24" s="950"/>
    </row>
    <row r="25" spans="1:6" ht="14.25" thickBot="1" thickTop="1">
      <c r="A25" s="22"/>
      <c r="B25" s="498"/>
      <c r="C25" s="499" t="s">
        <v>432</v>
      </c>
      <c r="D25" s="490">
        <f>SUM(D12:D23)</f>
        <v>70106.40000000001</v>
      </c>
      <c r="F25" s="952">
        <f>SUM(F11:F24)</f>
        <v>59831.98305882352</v>
      </c>
    </row>
    <row r="26" ht="14.25" thickBot="1" thickTop="1"/>
    <row r="27" spans="1:4" ht="14.25" thickBot="1" thickTop="1">
      <c r="A27" s="198" t="s">
        <v>711</v>
      </c>
      <c r="B27" s="918">
        <f>'Exploitatie MFC'!B12</f>
        <v>0.0156</v>
      </c>
      <c r="C27" s="29"/>
      <c r="D27" s="490">
        <f>D25+(D25*B27)</f>
        <v>71200.05984</v>
      </c>
    </row>
    <row r="28" ht="13.5" thickTop="1"/>
    <row r="29" ht="13.5" thickBot="1"/>
    <row r="30" spans="1:4" ht="14.25" thickBot="1" thickTop="1">
      <c r="A30" s="491" t="s">
        <v>657</v>
      </c>
      <c r="B30" s="26"/>
      <c r="C30" s="29"/>
      <c r="D30" s="490">
        <f>ROUND(D27,0)</f>
        <v>71200</v>
      </c>
    </row>
    <row r="31" ht="13.5" thickTop="1"/>
    <row r="32" ht="12.75">
      <c r="A32" t="s">
        <v>433</v>
      </c>
    </row>
    <row r="33" ht="13.5" thickBot="1"/>
    <row r="34" spans="1:4" ht="14.25" thickBot="1" thickTop="1">
      <c r="A34" s="491" t="s">
        <v>658</v>
      </c>
      <c r="B34" s="26"/>
      <c r="C34" s="29"/>
      <c r="D34" s="490">
        <f>D30/(1+'Exploitatie MFC'!B13)</f>
        <v>59831.93277310925</v>
      </c>
    </row>
    <row r="35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3"/>
  <headerFooter alignWithMargins="0">
    <oddFooter>&amp;LConceptversie - 20 juni 2007 (Alleen te gebruiken voor interne doeleinden)&amp;RTabblad - &amp;A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0">
      <selection activeCell="F17" sqref="F17:F19"/>
    </sheetView>
  </sheetViews>
  <sheetFormatPr defaultColWidth="9.140625" defaultRowHeight="12.75"/>
  <cols>
    <col min="1" max="1" width="18.7109375" style="0" customWidth="1"/>
    <col min="2" max="2" width="16.28125" style="0" customWidth="1"/>
    <col min="3" max="3" width="14.00390625" style="0" customWidth="1"/>
    <col min="4" max="4" width="11.7109375" style="0" customWidth="1"/>
    <col min="5" max="5" width="15.57421875" style="0" bestFit="1" customWidth="1"/>
    <col min="6" max="6" width="15.57421875" style="0" customWidth="1"/>
  </cols>
  <sheetData>
    <row r="1" ht="20.25">
      <c r="A1" s="4" t="s">
        <v>437</v>
      </c>
    </row>
    <row r="2" ht="13.5" thickBot="1"/>
    <row r="3" spans="1:6" ht="13.5" thickTop="1">
      <c r="A3" s="1" t="s">
        <v>700</v>
      </c>
      <c r="E3" s="911" t="s">
        <v>434</v>
      </c>
      <c r="F3" s="912"/>
    </row>
    <row r="4" spans="1:6" ht="13.5" thickBot="1">
      <c r="A4" s="1"/>
      <c r="E4" s="913" t="s">
        <v>355</v>
      </c>
      <c r="F4" s="914"/>
    </row>
    <row r="5" ht="13.5" thickTop="1">
      <c r="A5" s="73" t="s">
        <v>710</v>
      </c>
    </row>
    <row r="7" ht="12.75">
      <c r="A7" t="s">
        <v>438</v>
      </c>
    </row>
    <row r="8" spans="1:4" ht="12.75">
      <c r="A8" t="s">
        <v>420</v>
      </c>
      <c r="B8">
        <v>785</v>
      </c>
      <c r="C8" t="s">
        <v>421</v>
      </c>
      <c r="D8" t="s">
        <v>422</v>
      </c>
    </row>
    <row r="9" ht="13.5" thickBot="1"/>
    <row r="10" spans="1:6" ht="14.25" thickBot="1" thickTop="1">
      <c r="A10" s="919">
        <v>2006</v>
      </c>
      <c r="B10" s="502" t="s">
        <v>444</v>
      </c>
      <c r="C10" s="502" t="s">
        <v>443</v>
      </c>
      <c r="D10" s="503" t="s">
        <v>30</v>
      </c>
      <c r="E10" s="951" t="s">
        <v>740</v>
      </c>
      <c r="F10" s="951" t="s">
        <v>741</v>
      </c>
    </row>
    <row r="11" spans="1:6" ht="13.5" thickTop="1">
      <c r="A11" s="492" t="s">
        <v>423</v>
      </c>
      <c r="B11" s="15"/>
      <c r="C11" s="15"/>
      <c r="D11" s="8"/>
      <c r="E11" s="947"/>
      <c r="F11" s="937"/>
    </row>
    <row r="12" spans="1:6" ht="12.75">
      <c r="A12" s="493" t="s">
        <v>424</v>
      </c>
      <c r="B12" s="496">
        <v>1216.73</v>
      </c>
      <c r="C12" s="496">
        <f>B8*12.82</f>
        <v>10063.7</v>
      </c>
      <c r="D12" s="488">
        <f>B12+C12</f>
        <v>11280.43</v>
      </c>
      <c r="E12" s="949">
        <f>D12*(1+$B$27)</f>
        <v>11456.404708000002</v>
      </c>
      <c r="F12" s="938">
        <f>E12/(1+'Exploitatie MFC'!$B$13)</f>
        <v>9627.230847058825</v>
      </c>
    </row>
    <row r="13" spans="1:6" ht="12.75">
      <c r="A13" s="493" t="s">
        <v>425</v>
      </c>
      <c r="B13" s="496">
        <v>40.99</v>
      </c>
      <c r="C13" s="496">
        <f>B8*0.4</f>
        <v>314</v>
      </c>
      <c r="D13" s="488">
        <f>B13+C13</f>
        <v>354.99</v>
      </c>
      <c r="E13" s="949">
        <f>D13*(1+$B$27)</f>
        <v>360.527844</v>
      </c>
      <c r="F13" s="938">
        <f>E13/(1+'Exploitatie MFC'!$B$13)</f>
        <v>302.964574789916</v>
      </c>
    </row>
    <row r="14" spans="1:6" ht="12.75">
      <c r="A14" s="18" t="s">
        <v>241</v>
      </c>
      <c r="B14" s="496">
        <v>0</v>
      </c>
      <c r="C14" s="496">
        <f>B8*17.08</f>
        <v>13407.8</v>
      </c>
      <c r="D14" s="488">
        <f>B14+C14</f>
        <v>13407.8</v>
      </c>
      <c r="E14" s="949">
        <f>D14*(1+$B$27)</f>
        <v>13616.96168</v>
      </c>
      <c r="F14" s="938">
        <f>E14/(1+'Exploitatie MFC'!$B$13)</f>
        <v>11442.824941176472</v>
      </c>
    </row>
    <row r="15" spans="1:6" ht="12.75">
      <c r="A15" s="18"/>
      <c r="B15" s="496"/>
      <c r="C15" s="496"/>
      <c r="D15" s="488"/>
      <c r="E15" s="949">
        <f>D15*(1+$B$28)</f>
        <v>0</v>
      </c>
      <c r="F15" s="938">
        <f>E15/(1+'Exploitatie MFC'!$B$13)</f>
        <v>0</v>
      </c>
    </row>
    <row r="16" spans="1:6" ht="12.75">
      <c r="A16" s="494" t="s">
        <v>426</v>
      </c>
      <c r="B16" s="496"/>
      <c r="C16" s="496"/>
      <c r="D16" s="488"/>
      <c r="E16" s="949">
        <f>D16*(1+$B$28)</f>
        <v>0</v>
      </c>
      <c r="F16" s="938">
        <f>E16/(1+'Exploitatie MFC'!$B$13)</f>
        <v>0</v>
      </c>
    </row>
    <row r="17" spans="1:6" ht="12.75">
      <c r="A17" s="495" t="s">
        <v>427</v>
      </c>
      <c r="B17" s="496">
        <v>78.73</v>
      </c>
      <c r="C17" s="496">
        <f>B8*1.37</f>
        <v>1075.45</v>
      </c>
      <c r="D17" s="488">
        <f>B17+C17</f>
        <v>1154.18</v>
      </c>
      <c r="E17" s="949">
        <f>D17*(1+$B$27)</f>
        <v>1172.185208</v>
      </c>
      <c r="F17" s="938">
        <f>E17/(1+'Exploitatie MFC'!$B$13)</f>
        <v>985.029586554622</v>
      </c>
    </row>
    <row r="18" spans="1:6" ht="12.75">
      <c r="A18" s="495" t="s">
        <v>428</v>
      </c>
      <c r="B18" s="496">
        <v>27.62</v>
      </c>
      <c r="C18" s="496">
        <f>B8*5.73</f>
        <v>4498.05</v>
      </c>
      <c r="D18" s="488">
        <f>B18+C18</f>
        <v>4525.67</v>
      </c>
      <c r="E18" s="949">
        <f>D18*(1+$B$27)</f>
        <v>4596.270452000001</v>
      </c>
      <c r="F18" s="938">
        <f>E18/(1+'Exploitatie MFC'!$B$13)</f>
        <v>3862.412144537816</v>
      </c>
    </row>
    <row r="19" spans="1:6" ht="12.75">
      <c r="A19" s="495" t="s">
        <v>429</v>
      </c>
      <c r="B19" s="496">
        <v>36.03</v>
      </c>
      <c r="C19" s="496">
        <f>B8*0.4</f>
        <v>314</v>
      </c>
      <c r="D19" s="488">
        <f>B19+C19</f>
        <v>350.03</v>
      </c>
      <c r="E19" s="949">
        <f>D19*(1+$B$27)</f>
        <v>355.49046799999996</v>
      </c>
      <c r="F19" s="938">
        <f>E19/(1+'Exploitatie MFC'!$B$13)</f>
        <v>298.7314857142857</v>
      </c>
    </row>
    <row r="20" spans="1:6" ht="12.75">
      <c r="A20" s="18"/>
      <c r="B20" s="496"/>
      <c r="C20" s="496"/>
      <c r="D20" s="488"/>
      <c r="E20" s="949">
        <f>D20*(1+$B$28)</f>
        <v>0</v>
      </c>
      <c r="F20" s="938">
        <f>E20/(1+'Exploitatie MFC'!$B$13)</f>
        <v>0</v>
      </c>
    </row>
    <row r="21" spans="1:6" ht="12.75">
      <c r="A21" s="18" t="s">
        <v>430</v>
      </c>
      <c r="B21" s="496">
        <v>326.08</v>
      </c>
      <c r="C21" s="496">
        <f>B8*1.76</f>
        <v>1381.6</v>
      </c>
      <c r="D21" s="488">
        <f>B21+C21</f>
        <v>1707.6799999999998</v>
      </c>
      <c r="E21" s="949">
        <f>D21*(1+$B$27)</f>
        <v>1734.319808</v>
      </c>
      <c r="F21" s="938">
        <f>E21/(1+'Exploitatie MFC'!$B$13)</f>
        <v>1457.4116033613445</v>
      </c>
    </row>
    <row r="22" spans="1:6" ht="12.75">
      <c r="A22" s="18"/>
      <c r="B22" s="496"/>
      <c r="C22" s="496"/>
      <c r="D22" s="488"/>
      <c r="E22" s="949">
        <f>D22*(1+$B$28)</f>
        <v>0</v>
      </c>
      <c r="F22" s="938">
        <f>E22/(1+'Exploitatie MFC'!$B$13)</f>
        <v>0</v>
      </c>
    </row>
    <row r="23" spans="1:6" ht="12.75">
      <c r="A23" s="18" t="s">
        <v>431</v>
      </c>
      <c r="B23" s="496">
        <v>455.42</v>
      </c>
      <c r="C23" s="496">
        <f>B8*3.16</f>
        <v>2480.6</v>
      </c>
      <c r="D23" s="488">
        <f>B23+C23</f>
        <v>2936.02</v>
      </c>
      <c r="E23" s="949">
        <f>D23*(1+$B$27)</f>
        <v>2981.8219120000003</v>
      </c>
      <c r="F23" s="938">
        <f>E23/(1+'Exploitatie MFC'!$B$13)</f>
        <v>2505.732699159664</v>
      </c>
    </row>
    <row r="24" spans="1:6" ht="13.5" thickBot="1">
      <c r="A24" s="14"/>
      <c r="B24" s="497"/>
      <c r="C24" s="497"/>
      <c r="D24" s="489"/>
      <c r="E24" s="948"/>
      <c r="F24" s="950"/>
    </row>
    <row r="25" spans="1:6" ht="14.25" thickBot="1" thickTop="1">
      <c r="A25" s="22"/>
      <c r="B25" s="498"/>
      <c r="C25" s="499" t="s">
        <v>432</v>
      </c>
      <c r="D25" s="490">
        <f>SUM(D12:D23)</f>
        <v>35716.799999999996</v>
      </c>
      <c r="F25" s="952">
        <f>SUM(F11:F24)</f>
        <v>30482.337882352942</v>
      </c>
    </row>
    <row r="26" ht="14.25" thickBot="1" thickTop="1"/>
    <row r="27" spans="1:4" ht="14.25" thickBot="1" thickTop="1">
      <c r="A27" s="198" t="s">
        <v>711</v>
      </c>
      <c r="B27" s="918">
        <f>'Exploitatie MFC'!B12</f>
        <v>0.0156</v>
      </c>
      <c r="C27" s="29"/>
      <c r="D27" s="490">
        <f>D25+(D25*B27)</f>
        <v>36273.982079999994</v>
      </c>
    </row>
    <row r="28" ht="13.5" thickTop="1"/>
    <row r="29" ht="13.5" thickBot="1"/>
    <row r="30" spans="1:4" ht="14.25" thickBot="1" thickTop="1">
      <c r="A30" s="491" t="s">
        <v>657</v>
      </c>
      <c r="B30" s="198"/>
      <c r="C30" s="29"/>
      <c r="D30" s="490">
        <f>ROUND(D27,0)</f>
        <v>36274</v>
      </c>
    </row>
    <row r="31" ht="13.5" thickTop="1"/>
    <row r="32" ht="12.75">
      <c r="A32" t="s">
        <v>433</v>
      </c>
    </row>
    <row r="33" ht="13.5" thickBot="1"/>
    <row r="34" spans="1:4" ht="14.25" thickBot="1" thickTop="1">
      <c r="A34" s="491" t="s">
        <v>658</v>
      </c>
      <c r="B34" s="198"/>
      <c r="C34" s="29"/>
      <c r="D34" s="490">
        <f>D30/(1+'Exploitatie MFC'!B13)</f>
        <v>30482.352941176472</v>
      </c>
    </row>
    <row r="35" ht="13.5" thickTop="1"/>
  </sheetData>
  <sheetProtection/>
  <printOptions/>
  <pageMargins left="0.75" right="0.75" top="1" bottom="1" header="0.5" footer="0.5"/>
  <pageSetup fitToHeight="1" fitToWidth="1" horizontalDpi="600" verticalDpi="600" orientation="portrait" paperSize="9" scale="94" r:id="rId3"/>
  <headerFooter alignWithMargins="0">
    <oddFooter>&amp;LConceptversie - 20 juni 2007 (Alleen te gebruiken voor interne doeleinden)&amp;RTabblad - &amp;A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2:O79"/>
  <sheetViews>
    <sheetView zoomScalePageLayoutView="0" workbookViewId="0" topLeftCell="A22">
      <selection activeCell="L8" sqref="L8"/>
    </sheetView>
  </sheetViews>
  <sheetFormatPr defaultColWidth="9.140625" defaultRowHeight="12.75"/>
  <cols>
    <col min="1" max="1" width="24.140625" style="0" customWidth="1"/>
    <col min="2" max="2" width="6.421875" style="0" customWidth="1"/>
    <col min="3" max="3" width="8.421875" style="0" customWidth="1"/>
    <col min="4" max="4" width="8.7109375" style="0" customWidth="1"/>
    <col min="5" max="5" width="10.140625" style="0" customWidth="1"/>
    <col min="6" max="7" width="8.8515625" style="0" customWidth="1"/>
    <col min="8" max="8" width="10.421875" style="0" customWidth="1"/>
    <col min="9" max="9" width="2.7109375" style="0" customWidth="1"/>
    <col min="10" max="10" width="8.421875" style="0" customWidth="1"/>
    <col min="11" max="13" width="8.7109375" style="0" customWidth="1"/>
    <col min="14" max="14" width="16.140625" style="0" customWidth="1"/>
  </cols>
  <sheetData>
    <row r="2" ht="20.25">
      <c r="A2" s="4" t="s">
        <v>36</v>
      </c>
    </row>
    <row r="3" spans="1:4" ht="13.5" thickBot="1">
      <c r="A3" s="11"/>
      <c r="B3" s="11"/>
      <c r="C3" s="11"/>
      <c r="D3" s="11"/>
    </row>
    <row r="4" spans="1:7" ht="14.25" thickBot="1" thickTop="1">
      <c r="A4" s="265" t="s">
        <v>217</v>
      </c>
      <c r="B4" s="267" t="s">
        <v>144</v>
      </c>
      <c r="C4" s="268" t="s">
        <v>163</v>
      </c>
      <c r="D4" s="11"/>
      <c r="F4" s="911" t="s">
        <v>84</v>
      </c>
      <c r="G4" s="926"/>
    </row>
    <row r="5" spans="1:7" ht="14.25" thickBot="1" thickTop="1">
      <c r="A5" s="155" t="s">
        <v>204</v>
      </c>
      <c r="B5" s="175">
        <v>50</v>
      </c>
      <c r="C5" s="174" t="s">
        <v>208</v>
      </c>
      <c r="D5" s="11"/>
      <c r="F5" s="913" t="s">
        <v>355</v>
      </c>
      <c r="G5" s="927"/>
    </row>
    <row r="6" spans="1:4" ht="13.5" thickTop="1">
      <c r="A6" s="155" t="s">
        <v>215</v>
      </c>
      <c r="B6" s="175">
        <v>6</v>
      </c>
      <c r="C6" s="174" t="s">
        <v>207</v>
      </c>
      <c r="D6" s="11"/>
    </row>
    <row r="7" spans="1:4" ht="12.75">
      <c r="A7" s="155" t="s">
        <v>216</v>
      </c>
      <c r="B7" s="175">
        <f>B5*B6</f>
        <v>300</v>
      </c>
      <c r="C7" s="174" t="s">
        <v>207</v>
      </c>
      <c r="D7" s="11"/>
    </row>
    <row r="8" spans="1:4" ht="13.5" thickBot="1">
      <c r="A8" s="155"/>
      <c r="B8" s="175"/>
      <c r="C8" s="174"/>
      <c r="D8" s="11"/>
    </row>
    <row r="9" spans="1:3" ht="14.25" thickBot="1" thickTop="1">
      <c r="A9" s="90" t="s">
        <v>58</v>
      </c>
      <c r="B9" s="189">
        <f>B7</f>
        <v>300</v>
      </c>
      <c r="C9" s="154" t="s">
        <v>35</v>
      </c>
    </row>
    <row r="10" spans="1:3" ht="14.25" thickBot="1" thickTop="1">
      <c r="A10" s="173"/>
      <c r="B10" s="74"/>
      <c r="C10" s="11"/>
    </row>
    <row r="11" spans="1:6" ht="14.25" thickBot="1" thickTop="1">
      <c r="A11" s="265" t="s">
        <v>18</v>
      </c>
      <c r="B11" s="329"/>
      <c r="C11" s="267" t="s">
        <v>62</v>
      </c>
      <c r="D11" s="267" t="s">
        <v>63</v>
      </c>
      <c r="E11" s="296" t="s">
        <v>30</v>
      </c>
      <c r="F11" s="276"/>
    </row>
    <row r="12" spans="1:6" ht="13.5" thickTop="1">
      <c r="A12" s="18" t="s">
        <v>12</v>
      </c>
      <c r="B12" s="39"/>
      <c r="C12" s="69">
        <v>39083.375</v>
      </c>
      <c r="D12" s="69">
        <v>39083.5</v>
      </c>
      <c r="E12" s="67">
        <f>D12-C12</f>
        <v>0.125</v>
      </c>
      <c r="F12" s="27" t="s">
        <v>64</v>
      </c>
    </row>
    <row r="13" spans="1:6" ht="12.75">
      <c r="A13" s="18" t="s">
        <v>16</v>
      </c>
      <c r="B13" s="39"/>
      <c r="C13" s="69">
        <v>39083.5625</v>
      </c>
      <c r="D13" s="69">
        <v>39083.729166666664</v>
      </c>
      <c r="E13" s="67">
        <f>D13-C13</f>
        <v>0.16666666666424135</v>
      </c>
      <c r="F13" s="27" t="s">
        <v>64</v>
      </c>
    </row>
    <row r="14" spans="1:6" ht="13.5" thickBot="1">
      <c r="A14" s="14" t="s">
        <v>14</v>
      </c>
      <c r="B14" s="25"/>
      <c r="C14" s="70">
        <v>1.8125</v>
      </c>
      <c r="D14" s="70">
        <v>39083.979166666664</v>
      </c>
      <c r="E14" s="68">
        <f>D14-C14</f>
        <v>39082.166666666664</v>
      </c>
      <c r="F14" s="9" t="s">
        <v>64</v>
      </c>
    </row>
    <row r="15" ht="14.25" thickBot="1" thickTop="1">
      <c r="A15" s="26"/>
    </row>
    <row r="16" spans="1:5" ht="13.5" thickTop="1">
      <c r="A16" s="250" t="s">
        <v>37</v>
      </c>
      <c r="B16" s="323"/>
      <c r="C16" s="323"/>
      <c r="D16" s="324" t="s">
        <v>26</v>
      </c>
      <c r="E16" s="325" t="s">
        <v>21</v>
      </c>
    </row>
    <row r="17" spans="1:5" ht="13.5" thickBot="1">
      <c r="A17" s="257" t="s">
        <v>65</v>
      </c>
      <c r="B17" s="326"/>
      <c r="C17" s="326"/>
      <c r="D17" s="327"/>
      <c r="E17" s="328"/>
    </row>
    <row r="18" spans="1:5" ht="14.25" thickBot="1" thickTop="1">
      <c r="A18" s="14" t="s">
        <v>27</v>
      </c>
      <c r="B18" s="25"/>
      <c r="C18" s="25"/>
      <c r="D18" s="40">
        <f>12/40</f>
        <v>0.3</v>
      </c>
      <c r="E18" s="177">
        <f>18.6/40</f>
        <v>0.465</v>
      </c>
    </row>
    <row r="19" ht="14.25" thickBot="1" thickTop="1"/>
    <row r="20" spans="1:11" ht="14.25" thickBot="1" thickTop="1">
      <c r="A20" s="265" t="s">
        <v>67</v>
      </c>
      <c r="B20" s="267" t="s">
        <v>15</v>
      </c>
      <c r="C20" s="319" t="s">
        <v>52</v>
      </c>
      <c r="D20" s="320" t="s">
        <v>25</v>
      </c>
      <c r="E20" s="321" t="s">
        <v>21</v>
      </c>
      <c r="F20" s="322" t="s">
        <v>28</v>
      </c>
      <c r="G20" s="41"/>
      <c r="J20" s="12"/>
      <c r="K20" s="11"/>
    </row>
    <row r="21" spans="1:7" ht="13.5" thickTop="1">
      <c r="A21" s="13" t="s">
        <v>19</v>
      </c>
      <c r="B21" s="15">
        <v>80</v>
      </c>
      <c r="C21" s="24"/>
      <c r="D21" s="71">
        <f aca="true" t="shared" si="0" ref="D21:D30">B21*$D$18</f>
        <v>24</v>
      </c>
      <c r="E21" s="72">
        <f aca="true" t="shared" si="1" ref="E21:E30">B21*$E$18</f>
        <v>37.2</v>
      </c>
      <c r="F21" s="144">
        <f aca="true" t="shared" si="2" ref="F21:F30">(($B$33*D21)+($B$34*E21))/100</f>
        <v>26.64</v>
      </c>
      <c r="G21" s="2"/>
    </row>
    <row r="22" spans="1:7" ht="12.75">
      <c r="A22" s="18" t="s">
        <v>19</v>
      </c>
      <c r="B22" s="19">
        <v>85</v>
      </c>
      <c r="C22" s="39"/>
      <c r="D22" s="20">
        <f t="shared" si="0"/>
        <v>25.5</v>
      </c>
      <c r="E22" s="21">
        <f t="shared" si="1"/>
        <v>39.525</v>
      </c>
      <c r="F22" s="144">
        <f t="shared" si="2"/>
        <v>28.305</v>
      </c>
      <c r="G22" s="2"/>
    </row>
    <row r="23" spans="1:7" ht="12.75">
      <c r="A23" s="18" t="s">
        <v>31</v>
      </c>
      <c r="B23" s="19">
        <v>61</v>
      </c>
      <c r="C23" s="39"/>
      <c r="D23" s="20">
        <f t="shared" si="0"/>
        <v>18.3</v>
      </c>
      <c r="E23" s="21">
        <f t="shared" si="1"/>
        <v>28.365000000000002</v>
      </c>
      <c r="F23" s="144">
        <f t="shared" si="2"/>
        <v>20.313000000000002</v>
      </c>
      <c r="G23" s="2"/>
    </row>
    <row r="24" spans="1:7" ht="12.75">
      <c r="A24" s="18" t="s">
        <v>20</v>
      </c>
      <c r="B24" s="19">
        <v>84</v>
      </c>
      <c r="C24" s="39"/>
      <c r="D24" s="20">
        <f t="shared" si="0"/>
        <v>25.2</v>
      </c>
      <c r="E24" s="21">
        <f t="shared" si="1"/>
        <v>39.06</v>
      </c>
      <c r="F24" s="144">
        <f t="shared" si="2"/>
        <v>27.971999999999998</v>
      </c>
      <c r="G24" s="2"/>
    </row>
    <row r="25" spans="1:7" ht="12.75">
      <c r="A25" s="18" t="s">
        <v>22</v>
      </c>
      <c r="B25" s="19">
        <v>300</v>
      </c>
      <c r="C25" s="39"/>
      <c r="D25" s="20">
        <f t="shared" si="0"/>
        <v>90</v>
      </c>
      <c r="E25" s="21">
        <f t="shared" si="1"/>
        <v>139.5</v>
      </c>
      <c r="F25" s="144">
        <f t="shared" si="2"/>
        <v>99.9</v>
      </c>
      <c r="G25" s="2"/>
    </row>
    <row r="26" spans="1:7" ht="12.75">
      <c r="A26" s="18" t="s">
        <v>7</v>
      </c>
      <c r="B26" s="19">
        <v>100</v>
      </c>
      <c r="C26" s="39"/>
      <c r="D26" s="20">
        <f t="shared" si="0"/>
        <v>30</v>
      </c>
      <c r="E26" s="21">
        <f t="shared" si="1"/>
        <v>46.5</v>
      </c>
      <c r="F26" s="144">
        <f t="shared" si="2"/>
        <v>33.3</v>
      </c>
      <c r="G26" s="2"/>
    </row>
    <row r="27" spans="1:7" ht="12.75">
      <c r="A27" s="18" t="s">
        <v>23</v>
      </c>
      <c r="B27" s="19">
        <v>40</v>
      </c>
      <c r="C27" s="39"/>
      <c r="D27" s="20">
        <f t="shared" si="0"/>
        <v>12</v>
      </c>
      <c r="E27" s="21">
        <f t="shared" si="1"/>
        <v>18.6</v>
      </c>
      <c r="F27" s="144">
        <f t="shared" si="2"/>
        <v>13.32</v>
      </c>
      <c r="G27" s="2"/>
    </row>
    <row r="28" spans="1:7" ht="12.75">
      <c r="A28" s="18"/>
      <c r="B28" s="19">
        <v>20</v>
      </c>
      <c r="C28" s="39"/>
      <c r="D28" s="20">
        <f t="shared" si="0"/>
        <v>6</v>
      </c>
      <c r="E28" s="21">
        <f t="shared" si="1"/>
        <v>9.3</v>
      </c>
      <c r="F28" s="144">
        <f t="shared" si="2"/>
        <v>6.66</v>
      </c>
      <c r="G28" s="2"/>
    </row>
    <row r="29" spans="1:7" ht="12.75">
      <c r="A29" s="18" t="s">
        <v>11</v>
      </c>
      <c r="B29" s="19">
        <v>75</v>
      </c>
      <c r="C29" s="39"/>
      <c r="D29" s="20">
        <f t="shared" si="0"/>
        <v>22.5</v>
      </c>
      <c r="E29" s="21">
        <f t="shared" si="1"/>
        <v>34.875</v>
      </c>
      <c r="F29" s="144">
        <f t="shared" si="2"/>
        <v>24.975</v>
      </c>
      <c r="G29" s="2"/>
    </row>
    <row r="30" spans="1:7" ht="13.5" thickBot="1">
      <c r="A30" s="14" t="s">
        <v>24</v>
      </c>
      <c r="B30" s="16">
        <v>100</v>
      </c>
      <c r="C30" s="25"/>
      <c r="D30" s="176">
        <f t="shared" si="0"/>
        <v>30</v>
      </c>
      <c r="E30" s="17">
        <f t="shared" si="1"/>
        <v>46.5</v>
      </c>
      <c r="F30" s="145">
        <f t="shared" si="2"/>
        <v>33.3</v>
      </c>
      <c r="G30" s="2"/>
    </row>
    <row r="31" spans="1:7" ht="14.25" thickBot="1" thickTop="1">
      <c r="A31" s="11"/>
      <c r="B31" s="11"/>
      <c r="C31" s="11"/>
      <c r="D31" s="12"/>
      <c r="E31" s="12"/>
      <c r="F31" s="12"/>
      <c r="G31" s="2"/>
    </row>
    <row r="32" spans="1:3" ht="14.25" thickBot="1" thickTop="1">
      <c r="A32" s="265" t="s">
        <v>60</v>
      </c>
      <c r="B32" s="296" t="s">
        <v>61</v>
      </c>
      <c r="C32" s="276"/>
    </row>
    <row r="33" spans="1:5" ht="13.5" thickTop="1">
      <c r="A33" s="18" t="s">
        <v>26</v>
      </c>
      <c r="B33" s="53">
        <v>80</v>
      </c>
      <c r="C33" s="27" t="s">
        <v>29</v>
      </c>
      <c r="D33" s="11"/>
      <c r="E33" s="330"/>
    </row>
    <row r="34" spans="1:4" ht="13.5" thickBot="1">
      <c r="A34" s="14" t="s">
        <v>21</v>
      </c>
      <c r="B34" s="178">
        <v>20</v>
      </c>
      <c r="C34" s="9" t="s">
        <v>29</v>
      </c>
      <c r="D34" s="11"/>
    </row>
    <row r="35" spans="1:10" ht="13.5" thickTop="1">
      <c r="A35" s="11"/>
      <c r="B35" s="53"/>
      <c r="C35" s="11"/>
      <c r="D35" s="11"/>
      <c r="I35" s="1"/>
      <c r="J35" s="1"/>
    </row>
    <row r="36" spans="1:11" ht="12.75">
      <c r="A36" s="11"/>
      <c r="B36" s="53"/>
      <c r="C36" s="53"/>
      <c r="K36" s="1"/>
    </row>
    <row r="37" spans="1:10" ht="15.75">
      <c r="A37" s="42" t="s">
        <v>40</v>
      </c>
      <c r="B37" s="53"/>
      <c r="C37" s="53"/>
      <c r="J37" s="1" t="s">
        <v>39</v>
      </c>
    </row>
    <row r="38" spans="1:14" ht="13.5" customHeight="1">
      <c r="A38" s="42"/>
      <c r="B38" s="53"/>
      <c r="C38" s="53"/>
      <c r="E38" s="66"/>
      <c r="F38" s="65" t="s">
        <v>59</v>
      </c>
      <c r="J38" s="73" t="s">
        <v>65</v>
      </c>
      <c r="L38" t="s">
        <v>34</v>
      </c>
      <c r="M38" s="1">
        <f>B9</f>
        <v>300</v>
      </c>
      <c r="N38" t="s">
        <v>35</v>
      </c>
    </row>
    <row r="39" ht="13.5" thickBot="1"/>
    <row r="40" spans="1:15" ht="13.5" thickTop="1">
      <c r="A40" s="250" t="s">
        <v>0</v>
      </c>
      <c r="B40" s="251" t="s">
        <v>15</v>
      </c>
      <c r="C40" s="252" t="s">
        <v>53</v>
      </c>
      <c r="D40" s="252" t="s">
        <v>12</v>
      </c>
      <c r="E40" s="251" t="s">
        <v>13</v>
      </c>
      <c r="F40" s="251" t="s">
        <v>14</v>
      </c>
      <c r="G40" s="252" t="s">
        <v>30</v>
      </c>
      <c r="H40" s="253" t="s">
        <v>55</v>
      </c>
      <c r="I40" s="315"/>
      <c r="J40" s="250" t="s">
        <v>57</v>
      </c>
      <c r="K40" s="252" t="s">
        <v>12</v>
      </c>
      <c r="L40" s="251" t="s">
        <v>16</v>
      </c>
      <c r="M40" s="251" t="s">
        <v>14</v>
      </c>
      <c r="N40" s="253" t="s">
        <v>38</v>
      </c>
      <c r="O40" s="41"/>
    </row>
    <row r="41" spans="1:15" ht="13.5" thickBot="1">
      <c r="A41" s="257"/>
      <c r="B41" s="316"/>
      <c r="C41" s="317" t="s">
        <v>56</v>
      </c>
      <c r="D41" s="317"/>
      <c r="E41" s="316"/>
      <c r="F41" s="316"/>
      <c r="G41" s="317"/>
      <c r="H41" s="278" t="s">
        <v>54</v>
      </c>
      <c r="I41" s="315"/>
      <c r="J41" s="257" t="s">
        <v>56</v>
      </c>
      <c r="K41" s="317"/>
      <c r="L41" s="316"/>
      <c r="M41" s="316"/>
      <c r="N41" s="318" t="s">
        <v>33</v>
      </c>
      <c r="O41" s="41"/>
    </row>
    <row r="42" spans="1:14" ht="13.5" thickTop="1">
      <c r="A42" s="18" t="s">
        <v>1</v>
      </c>
      <c r="B42" s="19">
        <v>80</v>
      </c>
      <c r="C42" s="39">
        <v>12</v>
      </c>
      <c r="D42" s="48">
        <v>150</v>
      </c>
      <c r="E42" s="49">
        <v>200</v>
      </c>
      <c r="F42" s="49">
        <v>250</v>
      </c>
      <c r="G42" s="39">
        <f aca="true" t="shared" si="3" ref="G42:G55">SUM(D42:F42)</f>
        <v>600</v>
      </c>
      <c r="H42" s="54">
        <f>G42*F21</f>
        <v>15984</v>
      </c>
      <c r="I42" s="5"/>
      <c r="J42" s="184">
        <f>C42/$M$38</f>
        <v>0.04</v>
      </c>
      <c r="K42" s="306">
        <f>D42/$M$38</f>
        <v>0.5</v>
      </c>
      <c r="L42" s="307">
        <f>E42/$M$38</f>
        <v>0.6666666666666666</v>
      </c>
      <c r="M42" s="307">
        <f>F42/$M$38</f>
        <v>0.8333333333333334</v>
      </c>
      <c r="N42" s="146">
        <f>AVERAGE(K42:M42)+(J42/3)</f>
        <v>0.6799999999999999</v>
      </c>
    </row>
    <row r="43" spans="1:14" ht="12.75">
      <c r="A43" s="18" t="s">
        <v>2</v>
      </c>
      <c r="B43" s="19">
        <v>85</v>
      </c>
      <c r="C43" s="39">
        <v>12</v>
      </c>
      <c r="D43" s="48">
        <v>150</v>
      </c>
      <c r="E43" s="49">
        <v>200</v>
      </c>
      <c r="F43" s="49">
        <v>250</v>
      </c>
      <c r="G43" s="39">
        <f t="shared" si="3"/>
        <v>600</v>
      </c>
      <c r="H43" s="55">
        <f>G43*F22</f>
        <v>16983</v>
      </c>
      <c r="I43" s="5"/>
      <c r="J43" s="184">
        <f aca="true" t="shared" si="4" ref="J43:J48">C43/$M$38</f>
        <v>0.04</v>
      </c>
      <c r="K43" s="306">
        <f aca="true" t="shared" si="5" ref="K43:K48">D43/$B$9</f>
        <v>0.5</v>
      </c>
      <c r="L43" s="307">
        <f aca="true" t="shared" si="6" ref="L43:L48">E43/$M$38</f>
        <v>0.6666666666666666</v>
      </c>
      <c r="M43" s="307">
        <f aca="true" t="shared" si="7" ref="M43:M48">F43/$M$38</f>
        <v>0.8333333333333334</v>
      </c>
      <c r="N43" s="146">
        <f aca="true" t="shared" si="8" ref="N43:N57">AVERAGE(K43:M43)+(J43/3)</f>
        <v>0.6799999999999999</v>
      </c>
    </row>
    <row r="44" spans="1:14" ht="12.75">
      <c r="A44" s="18" t="s">
        <v>3</v>
      </c>
      <c r="B44" s="19">
        <v>61</v>
      </c>
      <c r="C44" s="39">
        <v>12</v>
      </c>
      <c r="D44" s="48">
        <v>75</v>
      </c>
      <c r="E44" s="49">
        <v>100</v>
      </c>
      <c r="F44" s="49">
        <v>125</v>
      </c>
      <c r="G44" s="39">
        <f t="shared" si="3"/>
        <v>300</v>
      </c>
      <c r="H44" s="55">
        <f>G44*F23</f>
        <v>6093.900000000001</v>
      </c>
      <c r="I44" s="5"/>
      <c r="J44" s="184">
        <f t="shared" si="4"/>
        <v>0.04</v>
      </c>
      <c r="K44" s="306">
        <f t="shared" si="5"/>
        <v>0.25</v>
      </c>
      <c r="L44" s="307">
        <f t="shared" si="6"/>
        <v>0.3333333333333333</v>
      </c>
      <c r="M44" s="307">
        <f t="shared" si="7"/>
        <v>0.4166666666666667</v>
      </c>
      <c r="N44" s="146">
        <f t="shared" si="8"/>
        <v>0.3466666666666666</v>
      </c>
    </row>
    <row r="45" spans="1:14" ht="12.75">
      <c r="A45" s="18" t="s">
        <v>4</v>
      </c>
      <c r="B45" s="19">
        <v>84</v>
      </c>
      <c r="C45" s="39">
        <v>200</v>
      </c>
      <c r="D45" s="64">
        <v>200</v>
      </c>
      <c r="E45" s="49">
        <v>15</v>
      </c>
      <c r="F45" s="49">
        <v>100</v>
      </c>
      <c r="G45" s="39">
        <f>SUM(E45:F45)</f>
        <v>115</v>
      </c>
      <c r="H45" s="55">
        <f>G45*F24</f>
        <v>3216.7799999999997</v>
      </c>
      <c r="I45" s="5"/>
      <c r="J45" s="149">
        <f>C45/$M$38</f>
        <v>0.6666666666666666</v>
      </c>
      <c r="K45" s="185">
        <f t="shared" si="5"/>
        <v>0.6666666666666666</v>
      </c>
      <c r="L45" s="307">
        <f>E45/B5</f>
        <v>0.3</v>
      </c>
      <c r="M45" s="307">
        <f t="shared" si="7"/>
        <v>0.3333333333333333</v>
      </c>
      <c r="N45" s="146">
        <f t="shared" si="8"/>
        <v>0.6555555555555554</v>
      </c>
    </row>
    <row r="46" spans="1:14" ht="12.75">
      <c r="A46" s="18" t="s">
        <v>5</v>
      </c>
      <c r="B46" s="19">
        <v>84</v>
      </c>
      <c r="C46" s="39">
        <v>200</v>
      </c>
      <c r="D46" s="64">
        <v>200</v>
      </c>
      <c r="E46" s="513">
        <v>200</v>
      </c>
      <c r="F46" s="49">
        <v>100</v>
      </c>
      <c r="G46" s="39">
        <f>F46</f>
        <v>100</v>
      </c>
      <c r="H46" s="55">
        <f>G46*F24</f>
        <v>2797.2</v>
      </c>
      <c r="I46" s="5"/>
      <c r="J46" s="149">
        <f>C46/$M$38</f>
        <v>0.6666666666666666</v>
      </c>
      <c r="K46" s="185">
        <f t="shared" si="5"/>
        <v>0.6666666666666666</v>
      </c>
      <c r="L46" s="186">
        <f t="shared" si="6"/>
        <v>0.6666666666666666</v>
      </c>
      <c r="M46" s="307">
        <f t="shared" si="7"/>
        <v>0.3333333333333333</v>
      </c>
      <c r="N46" s="146">
        <f t="shared" si="8"/>
        <v>0.7777777777777777</v>
      </c>
    </row>
    <row r="47" spans="1:14" ht="12.75">
      <c r="A47" s="18" t="s">
        <v>6</v>
      </c>
      <c r="B47" s="19">
        <v>300</v>
      </c>
      <c r="C47" s="39"/>
      <c r="D47" s="48">
        <v>5</v>
      </c>
      <c r="E47" s="49">
        <v>5</v>
      </c>
      <c r="F47" s="49">
        <v>5</v>
      </c>
      <c r="G47" s="39">
        <f t="shared" si="3"/>
        <v>15</v>
      </c>
      <c r="H47" s="55">
        <f>G47*F25</f>
        <v>1498.5</v>
      </c>
      <c r="I47" s="5"/>
      <c r="J47" s="149">
        <f t="shared" si="4"/>
        <v>0</v>
      </c>
      <c r="K47" s="306">
        <f t="shared" si="5"/>
        <v>0.016666666666666666</v>
      </c>
      <c r="L47" s="307">
        <f t="shared" si="6"/>
        <v>0.016666666666666666</v>
      </c>
      <c r="M47" s="307">
        <f t="shared" si="7"/>
        <v>0.016666666666666666</v>
      </c>
      <c r="N47" s="146">
        <f t="shared" si="8"/>
        <v>0.016666666666666666</v>
      </c>
    </row>
    <row r="48" spans="1:14" ht="13.5" thickBot="1">
      <c r="A48" s="18" t="s">
        <v>7</v>
      </c>
      <c r="B48" s="19">
        <v>100</v>
      </c>
      <c r="C48" s="39"/>
      <c r="D48" s="48">
        <v>0</v>
      </c>
      <c r="E48" s="49">
        <v>20</v>
      </c>
      <c r="F48" s="49">
        <v>30</v>
      </c>
      <c r="G48" s="39">
        <f t="shared" si="3"/>
        <v>50</v>
      </c>
      <c r="H48" s="55">
        <f>G48*F26</f>
        <v>1664.9999999999998</v>
      </c>
      <c r="I48" s="5"/>
      <c r="J48" s="149">
        <f t="shared" si="4"/>
        <v>0</v>
      </c>
      <c r="K48" s="306">
        <f t="shared" si="5"/>
        <v>0</v>
      </c>
      <c r="L48" s="307">
        <f t="shared" si="6"/>
        <v>0.06666666666666667</v>
      </c>
      <c r="M48" s="307">
        <f t="shared" si="7"/>
        <v>0.1</v>
      </c>
      <c r="N48" s="148">
        <f t="shared" si="8"/>
        <v>0.05555555555555556</v>
      </c>
    </row>
    <row r="49" spans="1:14" ht="14.25" thickBot="1" thickTop="1">
      <c r="A49" s="265" t="s">
        <v>68</v>
      </c>
      <c r="B49" s="34"/>
      <c r="C49" s="35"/>
      <c r="D49" s="33"/>
      <c r="E49" s="275"/>
      <c r="F49" s="275"/>
      <c r="G49" s="33"/>
      <c r="H49" s="31"/>
      <c r="I49" s="5"/>
      <c r="J49" s="311"/>
      <c r="K49" s="312"/>
      <c r="L49" s="313"/>
      <c r="M49" s="313"/>
      <c r="N49" s="314"/>
    </row>
    <row r="50" spans="1:14" ht="13.5" thickTop="1">
      <c r="A50" s="13" t="s">
        <v>8</v>
      </c>
      <c r="B50" s="15">
        <v>40</v>
      </c>
      <c r="C50" s="24"/>
      <c r="D50" s="50">
        <v>150</v>
      </c>
      <c r="E50" s="51">
        <v>200</v>
      </c>
      <c r="F50" s="51">
        <v>250</v>
      </c>
      <c r="G50" s="24">
        <f t="shared" si="3"/>
        <v>600</v>
      </c>
      <c r="H50" s="54">
        <f>G50*$F$27</f>
        <v>7992</v>
      </c>
      <c r="I50" s="5"/>
      <c r="J50" s="149">
        <f aca="true" t="shared" si="9" ref="J50:J57">C50/$M$38</f>
        <v>0</v>
      </c>
      <c r="K50" s="306">
        <f aca="true" t="shared" si="10" ref="K50:K57">D50/$B$9</f>
        <v>0.5</v>
      </c>
      <c r="L50" s="307">
        <f aca="true" t="shared" si="11" ref="L50:L57">E50/$M$38</f>
        <v>0.6666666666666666</v>
      </c>
      <c r="M50" s="307">
        <f aca="true" t="shared" si="12" ref="M50:M57">F50/$M$38</f>
        <v>0.8333333333333334</v>
      </c>
      <c r="N50" s="146">
        <f t="shared" si="8"/>
        <v>0.6666666666666666</v>
      </c>
    </row>
    <row r="51" spans="1:14" ht="12.75">
      <c r="A51" s="18" t="s">
        <v>8</v>
      </c>
      <c r="B51" s="19">
        <v>40</v>
      </c>
      <c r="C51" s="39"/>
      <c r="D51" s="48">
        <v>150</v>
      </c>
      <c r="E51" s="49">
        <v>200</v>
      </c>
      <c r="F51" s="49">
        <v>250</v>
      </c>
      <c r="G51" s="39">
        <f t="shared" si="3"/>
        <v>600</v>
      </c>
      <c r="H51" s="55">
        <f>G51*$F$27</f>
        <v>7992</v>
      </c>
      <c r="I51" s="5"/>
      <c r="J51" s="149">
        <f t="shared" si="9"/>
        <v>0</v>
      </c>
      <c r="K51" s="306">
        <f t="shared" si="10"/>
        <v>0.5</v>
      </c>
      <c r="L51" s="307">
        <f t="shared" si="11"/>
        <v>0.6666666666666666</v>
      </c>
      <c r="M51" s="307">
        <f t="shared" si="12"/>
        <v>0.8333333333333334</v>
      </c>
      <c r="N51" s="146">
        <f t="shared" si="8"/>
        <v>0.6666666666666666</v>
      </c>
    </row>
    <row r="52" spans="1:14" ht="12.75">
      <c r="A52" s="18" t="s">
        <v>9</v>
      </c>
      <c r="B52" s="19">
        <v>40</v>
      </c>
      <c r="C52" s="39"/>
      <c r="D52" s="48">
        <v>175</v>
      </c>
      <c r="E52" s="49">
        <v>225</v>
      </c>
      <c r="F52" s="49">
        <v>275</v>
      </c>
      <c r="G52" s="39">
        <f t="shared" si="3"/>
        <v>675</v>
      </c>
      <c r="H52" s="55">
        <f>G52*$F$27</f>
        <v>8991</v>
      </c>
      <c r="I52" s="5"/>
      <c r="J52" s="149">
        <f t="shared" si="9"/>
        <v>0</v>
      </c>
      <c r="K52" s="306">
        <f t="shared" si="10"/>
        <v>0.5833333333333334</v>
      </c>
      <c r="L52" s="307">
        <f t="shared" si="11"/>
        <v>0.75</v>
      </c>
      <c r="M52" s="307">
        <f t="shared" si="12"/>
        <v>0.9166666666666666</v>
      </c>
      <c r="N52" s="146">
        <f t="shared" si="8"/>
        <v>0.75</v>
      </c>
    </row>
    <row r="53" spans="1:14" ht="12.75">
      <c r="A53" s="18" t="s">
        <v>9</v>
      </c>
      <c r="B53" s="19">
        <v>40</v>
      </c>
      <c r="C53" s="39"/>
      <c r="D53" s="48">
        <v>175</v>
      </c>
      <c r="E53" s="49">
        <v>225</v>
      </c>
      <c r="F53" s="49">
        <v>275</v>
      </c>
      <c r="G53" s="39">
        <f t="shared" si="3"/>
        <v>675</v>
      </c>
      <c r="H53" s="55">
        <f>G53*$F$27</f>
        <v>8991</v>
      </c>
      <c r="I53" s="5"/>
      <c r="J53" s="149">
        <f t="shared" si="9"/>
        <v>0</v>
      </c>
      <c r="K53" s="306">
        <f t="shared" si="10"/>
        <v>0.5833333333333334</v>
      </c>
      <c r="L53" s="307">
        <f t="shared" si="11"/>
        <v>0.75</v>
      </c>
      <c r="M53" s="307">
        <f t="shared" si="12"/>
        <v>0.9166666666666666</v>
      </c>
      <c r="N53" s="146">
        <f t="shared" si="8"/>
        <v>0.75</v>
      </c>
    </row>
    <row r="54" spans="1:14" ht="12.75">
      <c r="A54" s="18" t="s">
        <v>8</v>
      </c>
      <c r="B54" s="19">
        <v>40</v>
      </c>
      <c r="C54" s="39"/>
      <c r="D54" s="48">
        <v>150</v>
      </c>
      <c r="E54" s="49">
        <v>200</v>
      </c>
      <c r="F54" s="49">
        <v>250</v>
      </c>
      <c r="G54" s="39">
        <f t="shared" si="3"/>
        <v>600</v>
      </c>
      <c r="H54" s="55">
        <f>G54*$F$27</f>
        <v>7992</v>
      </c>
      <c r="I54" s="5"/>
      <c r="J54" s="149">
        <f t="shared" si="9"/>
        <v>0</v>
      </c>
      <c r="K54" s="306">
        <f t="shared" si="10"/>
        <v>0.5</v>
      </c>
      <c r="L54" s="307">
        <f t="shared" si="11"/>
        <v>0.6666666666666666</v>
      </c>
      <c r="M54" s="307">
        <f t="shared" si="12"/>
        <v>0.8333333333333334</v>
      </c>
      <c r="N54" s="146">
        <f t="shared" si="8"/>
        <v>0.6666666666666666</v>
      </c>
    </row>
    <row r="55" spans="1:14" ht="12.75">
      <c r="A55" s="18" t="s">
        <v>10</v>
      </c>
      <c r="B55" s="19">
        <v>20</v>
      </c>
      <c r="C55" s="39"/>
      <c r="D55" s="48">
        <v>300</v>
      </c>
      <c r="E55" s="49">
        <v>300</v>
      </c>
      <c r="F55" s="49">
        <v>300</v>
      </c>
      <c r="G55" s="39">
        <f t="shared" si="3"/>
        <v>900</v>
      </c>
      <c r="H55" s="37">
        <v>3000</v>
      </c>
      <c r="I55" s="5"/>
      <c r="J55" s="149">
        <f t="shared" si="9"/>
        <v>0</v>
      </c>
      <c r="K55" s="306">
        <f t="shared" si="10"/>
        <v>1</v>
      </c>
      <c r="L55" s="307">
        <f t="shared" si="11"/>
        <v>1</v>
      </c>
      <c r="M55" s="307">
        <f t="shared" si="12"/>
        <v>1</v>
      </c>
      <c r="N55" s="146">
        <f t="shared" si="8"/>
        <v>1</v>
      </c>
    </row>
    <row r="56" spans="1:14" ht="12.75">
      <c r="A56" s="18" t="s">
        <v>11</v>
      </c>
      <c r="B56" s="19">
        <v>121</v>
      </c>
      <c r="C56" s="39">
        <v>200</v>
      </c>
      <c r="D56" s="514">
        <v>200</v>
      </c>
      <c r="E56" s="513">
        <v>200</v>
      </c>
      <c r="F56" s="49">
        <v>50</v>
      </c>
      <c r="G56" s="39">
        <f>F56</f>
        <v>50</v>
      </c>
      <c r="H56" s="55">
        <f>G56*F29</f>
        <v>1248.75</v>
      </c>
      <c r="I56" s="5"/>
      <c r="J56" s="149">
        <f t="shared" si="9"/>
        <v>0.6666666666666666</v>
      </c>
      <c r="K56" s="185">
        <f t="shared" si="10"/>
        <v>0.6666666666666666</v>
      </c>
      <c r="L56" s="186">
        <f t="shared" si="11"/>
        <v>0.6666666666666666</v>
      </c>
      <c r="M56" s="307">
        <f t="shared" si="12"/>
        <v>0.16666666666666666</v>
      </c>
      <c r="N56" s="146">
        <f t="shared" si="8"/>
        <v>0.7222222222222222</v>
      </c>
    </row>
    <row r="57" spans="1:14" ht="13.5" thickBot="1">
      <c r="A57" s="18" t="s">
        <v>24</v>
      </c>
      <c r="B57" s="19">
        <v>174</v>
      </c>
      <c r="C57" s="39">
        <v>200</v>
      </c>
      <c r="D57" s="514">
        <v>200</v>
      </c>
      <c r="E57" s="513">
        <v>200</v>
      </c>
      <c r="F57" s="49">
        <v>5</v>
      </c>
      <c r="G57" s="39">
        <f>F57</f>
        <v>5</v>
      </c>
      <c r="H57" s="55">
        <f>G57*F30</f>
        <v>166.5</v>
      </c>
      <c r="I57" s="5"/>
      <c r="J57" s="151">
        <f t="shared" si="9"/>
        <v>0.6666666666666666</v>
      </c>
      <c r="K57" s="187">
        <f t="shared" si="10"/>
        <v>0.6666666666666666</v>
      </c>
      <c r="L57" s="188">
        <f t="shared" si="11"/>
        <v>0.6666666666666666</v>
      </c>
      <c r="M57" s="308">
        <f t="shared" si="12"/>
        <v>0.016666666666666666</v>
      </c>
      <c r="N57" s="146">
        <f t="shared" si="8"/>
        <v>0.6722222222222222</v>
      </c>
    </row>
    <row r="58" spans="1:14" ht="14.25" thickBot="1" thickTop="1">
      <c r="A58" s="28" t="s">
        <v>32</v>
      </c>
      <c r="B58" s="40"/>
      <c r="C58" s="30"/>
      <c r="D58" s="30"/>
      <c r="E58" s="40"/>
      <c r="F58" s="40"/>
      <c r="G58" s="30"/>
      <c r="H58" s="183">
        <f>SUM(H42:H57)</f>
        <v>94611.63</v>
      </c>
      <c r="J58" s="150"/>
      <c r="K58" s="309">
        <f>AVERAGE(K42:K57)</f>
        <v>0.5066666666666666</v>
      </c>
      <c r="L58" s="310">
        <f>AVERAGE(L42:L57)</f>
        <v>0.5700000000000001</v>
      </c>
      <c r="M58" s="310">
        <f>AVERAGE(M42:M57)</f>
        <v>0.558888888888889</v>
      </c>
      <c r="N58" s="147">
        <f>AVERAGE(N42:N57)</f>
        <v>0.607111111111111</v>
      </c>
    </row>
    <row r="59" spans="4:5" ht="13.5" thickTop="1">
      <c r="D59" s="1"/>
      <c r="E59" s="1"/>
    </row>
    <row r="60" spans="1:5" ht="12.75">
      <c r="A60" s="1"/>
      <c r="D60" s="56"/>
      <c r="E60" s="56"/>
    </row>
    <row r="61" spans="4:5" ht="12.75">
      <c r="D61" s="56"/>
      <c r="E61" s="56"/>
    </row>
    <row r="62" spans="4:7" ht="12.75">
      <c r="D62" s="56"/>
      <c r="E62" s="56"/>
      <c r="F62" s="1"/>
      <c r="G62" s="1"/>
    </row>
    <row r="63" spans="4:7" ht="12.75">
      <c r="D63" s="56"/>
      <c r="E63" s="56"/>
      <c r="F63" s="56"/>
      <c r="G63" s="3"/>
    </row>
    <row r="64" spans="4:7" ht="12.75">
      <c r="D64" s="56"/>
      <c r="E64" s="56"/>
      <c r="F64" s="56"/>
      <c r="G64" s="3"/>
    </row>
    <row r="65" spans="4:7" ht="12.75">
      <c r="D65" s="56"/>
      <c r="E65" s="56"/>
      <c r="F65" s="56"/>
      <c r="G65" s="3"/>
    </row>
    <row r="66" spans="4:7" ht="12.75">
      <c r="D66" s="56"/>
      <c r="E66" s="56"/>
      <c r="F66" s="56"/>
      <c r="G66" s="3"/>
    </row>
    <row r="67" spans="4:7" ht="12.75">
      <c r="D67" s="56"/>
      <c r="E67" s="56"/>
      <c r="F67" s="56"/>
      <c r="G67" s="3"/>
    </row>
    <row r="68" spans="4:7" ht="12.75">
      <c r="D68" s="56"/>
      <c r="E68" s="56"/>
      <c r="F68" s="56"/>
      <c r="G68" s="3"/>
    </row>
    <row r="69" spans="4:7" ht="12.75">
      <c r="D69" s="56"/>
      <c r="E69" s="56"/>
      <c r="F69" s="56"/>
      <c r="G69" s="3"/>
    </row>
    <row r="70" spans="4:7" ht="12.75">
      <c r="D70" s="56"/>
      <c r="E70" s="56"/>
      <c r="F70" s="56"/>
      <c r="G70" s="3"/>
    </row>
    <row r="71" spans="4:7" ht="12.75">
      <c r="D71" s="56"/>
      <c r="E71" s="56"/>
      <c r="F71" s="56"/>
      <c r="G71" s="3"/>
    </row>
    <row r="72" spans="4:7" ht="12.75">
      <c r="D72" s="56"/>
      <c r="E72" s="56"/>
      <c r="F72" s="56"/>
      <c r="G72" s="3"/>
    </row>
    <row r="73" spans="4:7" ht="12.75">
      <c r="D73" s="56"/>
      <c r="E73" s="56"/>
      <c r="F73" s="56"/>
      <c r="G73" s="3"/>
    </row>
    <row r="74" spans="4:7" ht="12.75">
      <c r="D74" s="56"/>
      <c r="E74" s="56"/>
      <c r="F74" s="56"/>
      <c r="G74" s="3"/>
    </row>
    <row r="75" spans="4:7" ht="12.75">
      <c r="D75" s="56"/>
      <c r="E75" s="56"/>
      <c r="F75" s="56"/>
      <c r="G75" s="3"/>
    </row>
    <row r="76" spans="6:7" ht="12.75">
      <c r="F76" s="56"/>
      <c r="G76" s="3"/>
    </row>
    <row r="77" spans="6:7" ht="12.75">
      <c r="F77" s="56"/>
      <c r="G77" s="3"/>
    </row>
    <row r="78" spans="6:7" ht="12.75">
      <c r="F78" s="56"/>
      <c r="G78" s="3"/>
    </row>
    <row r="79" ht="12.75">
      <c r="G79" s="3"/>
    </row>
  </sheetData>
  <sheetProtection/>
  <printOptions/>
  <pageMargins left="0.58" right="0.59" top="0.54" bottom="1" header="0.29" footer="0.5"/>
  <pageSetup fitToHeight="1" fitToWidth="1" horizontalDpi="300" verticalDpi="300" orientation="landscape" paperSize="9" scale="63" r:id="rId3"/>
  <headerFooter alignWithMargins="0">
    <oddFooter>&amp;LConceptversie - 20 juni 2007 (Alleen te gebruiken voor interne doeleinden)&amp;RTabblad - &amp;A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0"/>
  <dimension ref="A1:E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0.8515625" style="0" customWidth="1"/>
    <col min="2" max="2" width="11.8515625" style="0" bestFit="1" customWidth="1"/>
  </cols>
  <sheetData>
    <row r="1" spans="1:5" ht="21" thickTop="1">
      <c r="A1" s="4" t="s">
        <v>41</v>
      </c>
      <c r="D1" s="911" t="s">
        <v>84</v>
      </c>
      <c r="E1" s="920"/>
    </row>
    <row r="2" spans="4:5" ht="13.5" thickBot="1">
      <c r="D2" s="913" t="s">
        <v>355</v>
      </c>
      <c r="E2" s="462"/>
    </row>
    <row r="3" ht="13.5" thickTop="1">
      <c r="A3" t="s">
        <v>50</v>
      </c>
    </row>
    <row r="4" ht="13.5" thickBot="1"/>
    <row r="5" spans="1:2" ht="14.25" thickBot="1" thickTop="1">
      <c r="A5" s="265" t="s">
        <v>42</v>
      </c>
      <c r="B5" s="31"/>
    </row>
    <row r="6" spans="1:2" ht="13.5" thickTop="1">
      <c r="A6" s="18" t="s">
        <v>43</v>
      </c>
      <c r="B6" s="37">
        <v>75000</v>
      </c>
    </row>
    <row r="7" spans="1:2" ht="13.5" thickBot="1">
      <c r="A7" s="18" t="s">
        <v>44</v>
      </c>
      <c r="B7" s="37">
        <v>130805</v>
      </c>
    </row>
    <row r="8" spans="1:2" ht="14.25" thickBot="1" thickTop="1">
      <c r="A8" s="247" t="s">
        <v>220</v>
      </c>
      <c r="B8" s="182">
        <f>B6/B7</f>
        <v>0.57337257750086</v>
      </c>
    </row>
    <row r="9" spans="1:2" ht="14.25" thickBot="1" thickTop="1">
      <c r="A9" s="90" t="s">
        <v>219</v>
      </c>
      <c r="B9" s="182">
        <v>0.1</v>
      </c>
    </row>
    <row r="10" spans="1:2" ht="14.25" thickBot="1" thickTop="1">
      <c r="A10" s="28" t="s">
        <v>45</v>
      </c>
      <c r="B10" s="181">
        <f>B8-B9</f>
        <v>0.47337257750086004</v>
      </c>
    </row>
    <row r="11" ht="14.25" thickBot="1" thickTop="1"/>
    <row r="12" spans="1:2" ht="14.25" thickBot="1" thickTop="1">
      <c r="A12" s="32" t="s">
        <v>47</v>
      </c>
      <c r="B12" s="31"/>
    </row>
    <row r="13" spans="1:2" ht="13.5" thickTop="1">
      <c r="A13" s="18" t="s">
        <v>44</v>
      </c>
      <c r="B13" s="37">
        <f>'17'!H58</f>
        <v>94611.63</v>
      </c>
    </row>
    <row r="14" spans="1:2" ht="12.75">
      <c r="A14" s="18" t="s">
        <v>46</v>
      </c>
      <c r="B14" s="43">
        <f>B10</f>
        <v>0.47337257750086004</v>
      </c>
    </row>
    <row r="15" spans="1:2" ht="12.75">
      <c r="A15" s="18" t="s">
        <v>43</v>
      </c>
      <c r="B15" s="57">
        <f>B13*B14</f>
        <v>44786.551154657696</v>
      </c>
    </row>
    <row r="16" spans="1:2" ht="12.75">
      <c r="A16" s="18" t="s">
        <v>48</v>
      </c>
      <c r="B16" s="58">
        <v>0.33</v>
      </c>
    </row>
    <row r="17" spans="1:2" ht="13.5" thickBot="1">
      <c r="A17" s="14" t="s">
        <v>49</v>
      </c>
      <c r="B17" s="60">
        <f>B15*B16</f>
        <v>14779.56188103704</v>
      </c>
    </row>
    <row r="18" spans="1:2" ht="14.25" thickBot="1" thickTop="1">
      <c r="A18" s="46" t="s">
        <v>47</v>
      </c>
      <c r="B18" s="59">
        <f>B15-B17</f>
        <v>30006.989273620657</v>
      </c>
    </row>
    <row r="19" ht="13.5" thickTop="1"/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Footer>&amp;LConceptversie - 20 juni 2007 (Alleen te gebruiken voor interne doeleinden)&amp;RTabblad -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13.28125" style="0" customWidth="1"/>
    <col min="3" max="4" width="10.421875" style="0" customWidth="1"/>
    <col min="5" max="5" width="13.00390625" style="0" customWidth="1"/>
    <col min="6" max="6" width="12.57421875" style="0" customWidth="1"/>
    <col min="7" max="7" width="13.57421875" style="0" customWidth="1"/>
    <col min="8" max="8" width="10.00390625" style="0" customWidth="1"/>
  </cols>
  <sheetData>
    <row r="1" spans="1:6" ht="21" thickTop="1">
      <c r="A1" s="4" t="s">
        <v>341</v>
      </c>
      <c r="E1" s="911" t="s">
        <v>84</v>
      </c>
      <c r="F1" s="920"/>
    </row>
    <row r="2" spans="5:6" ht="13.5" thickBot="1">
      <c r="E2" s="913" t="s">
        <v>355</v>
      </c>
      <c r="F2" s="462"/>
    </row>
    <row r="3" spans="1:3" ht="14.25" thickBot="1" thickTop="1">
      <c r="A3" s="32" t="s">
        <v>17</v>
      </c>
      <c r="B3" s="275"/>
      <c r="C3" s="31"/>
    </row>
    <row r="4" spans="1:3" ht="13.5" thickTop="1">
      <c r="A4" s="13" t="s">
        <v>345</v>
      </c>
      <c r="B4" s="15">
        <v>40</v>
      </c>
      <c r="C4" s="8" t="s">
        <v>208</v>
      </c>
    </row>
    <row r="5" spans="1:3" ht="12.75">
      <c r="A5" s="18" t="s">
        <v>347</v>
      </c>
      <c r="B5" s="19">
        <v>10</v>
      </c>
      <c r="C5" s="27"/>
    </row>
    <row r="6" spans="1:3" ht="13.5" thickBot="1">
      <c r="A6" s="14" t="s">
        <v>346</v>
      </c>
      <c r="B6" s="16">
        <v>10</v>
      </c>
      <c r="C6" s="9"/>
    </row>
    <row r="7" spans="1:3" ht="14.25" thickBot="1" thickTop="1">
      <c r="A7" s="14" t="s">
        <v>348</v>
      </c>
      <c r="B7" s="16">
        <f>(B4*10)+10</f>
        <v>410</v>
      </c>
      <c r="C7" s="9"/>
    </row>
    <row r="8" ht="13.5" thickTop="1"/>
    <row r="9" ht="13.5" thickBot="1"/>
    <row r="10" spans="1:8" ht="13.5" thickTop="1">
      <c r="A10" s="250" t="s">
        <v>353</v>
      </c>
      <c r="B10" s="251" t="s">
        <v>352</v>
      </c>
      <c r="C10" s="251" t="s">
        <v>259</v>
      </c>
      <c r="D10" s="251" t="s">
        <v>224</v>
      </c>
      <c r="E10" s="251" t="s">
        <v>344</v>
      </c>
      <c r="F10" s="251" t="s">
        <v>349</v>
      </c>
      <c r="G10" s="251" t="s">
        <v>225</v>
      </c>
      <c r="H10" s="253" t="s">
        <v>30</v>
      </c>
    </row>
    <row r="11" spans="1:8" ht="13.5" thickBot="1">
      <c r="A11" s="257"/>
      <c r="B11" s="316"/>
      <c r="C11" s="316"/>
      <c r="D11" s="316"/>
      <c r="E11" s="316"/>
      <c r="F11" s="316" t="s">
        <v>350</v>
      </c>
      <c r="G11" s="316"/>
      <c r="H11" s="318" t="s">
        <v>351</v>
      </c>
    </row>
    <row r="12" spans="1:8" ht="13.5" thickTop="1">
      <c r="A12" s="13" t="s">
        <v>69</v>
      </c>
      <c r="B12" s="15" t="s">
        <v>342</v>
      </c>
      <c r="C12" s="15">
        <v>174</v>
      </c>
      <c r="D12" s="337">
        <f>C12/$C$18</f>
        <v>0.05866486850977748</v>
      </c>
      <c r="E12" s="82">
        <f aca="true" t="shared" si="0" ref="E12:E17">$E$18*D12</f>
        <v>1475.393784665084</v>
      </c>
      <c r="F12" s="216">
        <f aca="true" t="shared" si="1" ref="F12:F17">E12/$B$7</f>
        <v>3.5985214260124</v>
      </c>
      <c r="G12" s="216">
        <f>F12*'Exploitatie MFC'!$B$13</f>
        <v>0.683719070942356</v>
      </c>
      <c r="H12" s="343">
        <f aca="true" t="shared" si="2" ref="H12:H17">F12+G12</f>
        <v>4.282240496954756</v>
      </c>
    </row>
    <row r="13" spans="1:8" ht="12.75">
      <c r="A13" s="18"/>
      <c r="B13" s="19" t="s">
        <v>343</v>
      </c>
      <c r="C13" s="19">
        <v>592</v>
      </c>
      <c r="D13" s="303">
        <f aca="true" t="shared" si="3" ref="D13:D18">C13/$C$18</f>
        <v>0.19959541469993258</v>
      </c>
      <c r="E13" s="83">
        <f t="shared" si="0"/>
        <v>5019.730577711091</v>
      </c>
      <c r="F13" s="340">
        <f t="shared" si="1"/>
        <v>12.243245311490467</v>
      </c>
      <c r="G13" s="85">
        <f>F13*'Exploitatie MFC'!$B$13</f>
        <v>2.326216609183189</v>
      </c>
      <c r="H13" s="344">
        <f t="shared" si="2"/>
        <v>14.569461920673657</v>
      </c>
    </row>
    <row r="14" spans="1:8" ht="12.75">
      <c r="A14" s="18" t="s">
        <v>70</v>
      </c>
      <c r="B14" s="19" t="s">
        <v>342</v>
      </c>
      <c r="C14" s="19">
        <v>465</v>
      </c>
      <c r="D14" s="303">
        <f t="shared" si="3"/>
        <v>0.15677680377612946</v>
      </c>
      <c r="E14" s="83">
        <f t="shared" si="0"/>
        <v>3942.862700398069</v>
      </c>
      <c r="F14" s="340">
        <f t="shared" si="1"/>
        <v>9.616738293653826</v>
      </c>
      <c r="G14" s="85">
        <f>F14*'Exploitatie MFC'!$B$13</f>
        <v>1.827180275794227</v>
      </c>
      <c r="H14" s="344">
        <f t="shared" si="2"/>
        <v>11.443918569448053</v>
      </c>
    </row>
    <row r="15" spans="1:8" ht="12.75">
      <c r="A15" s="18"/>
      <c r="B15" s="19" t="s">
        <v>343</v>
      </c>
      <c r="C15" s="19">
        <v>1089</v>
      </c>
      <c r="D15" s="303">
        <f t="shared" si="3"/>
        <v>0.3671611598111935</v>
      </c>
      <c r="E15" s="83">
        <f t="shared" si="0"/>
        <v>9233.930066093542</v>
      </c>
      <c r="F15" s="340">
        <f t="shared" si="1"/>
        <v>22.52178064900864</v>
      </c>
      <c r="G15" s="85">
        <f>F15*'Exploitatie MFC'!$B$13</f>
        <v>4.279138323311642</v>
      </c>
      <c r="H15" s="344">
        <f t="shared" si="2"/>
        <v>26.800918972320282</v>
      </c>
    </row>
    <row r="16" spans="1:8" ht="12.75">
      <c r="A16" s="18" t="s">
        <v>71</v>
      </c>
      <c r="B16" s="19" t="s">
        <v>342</v>
      </c>
      <c r="C16" s="19">
        <v>193</v>
      </c>
      <c r="D16" s="303">
        <f t="shared" si="3"/>
        <v>0.0650708024275118</v>
      </c>
      <c r="E16" s="83">
        <f t="shared" si="0"/>
        <v>1636.5000025308116</v>
      </c>
      <c r="F16" s="340">
        <f t="shared" si="1"/>
        <v>3.9914634208068573</v>
      </c>
      <c r="G16" s="85">
        <f>F16*'Exploitatie MFC'!$B$13</f>
        <v>0.7583780499533029</v>
      </c>
      <c r="H16" s="344">
        <f t="shared" si="2"/>
        <v>4.749841470760161</v>
      </c>
    </row>
    <row r="17" spans="1:8" ht="13.5" thickBot="1">
      <c r="A17" s="14"/>
      <c r="B17" s="16" t="s">
        <v>343</v>
      </c>
      <c r="C17" s="16">
        <v>453</v>
      </c>
      <c r="D17" s="338">
        <f t="shared" si="3"/>
        <v>0.15273095077545515</v>
      </c>
      <c r="E17" s="84">
        <f t="shared" si="0"/>
        <v>3841.1114049039256</v>
      </c>
      <c r="F17" s="341">
        <f t="shared" si="1"/>
        <v>9.368564402204697</v>
      </c>
      <c r="G17" s="217">
        <f>F17*'Exploitatie MFC'!$B$13</f>
        <v>1.7800272364188925</v>
      </c>
      <c r="H17" s="345">
        <f t="shared" si="2"/>
        <v>11.14859163862359</v>
      </c>
    </row>
    <row r="18" spans="1:8" ht="14.25" thickBot="1" thickTop="1">
      <c r="A18" s="22"/>
      <c r="B18" s="40"/>
      <c r="C18" s="40">
        <f>SUM(C12:C17)</f>
        <v>2966</v>
      </c>
      <c r="D18" s="339">
        <f t="shared" si="3"/>
        <v>1</v>
      </c>
      <c r="E18" s="218">
        <f>2!D6+2!D7+2!D8</f>
        <v>25149.528536302525</v>
      </c>
      <c r="F18" s="342"/>
      <c r="G18" s="40"/>
      <c r="H18" s="29"/>
    </row>
    <row r="19" ht="13.5" thickTop="1"/>
    <row r="20" spans="1:6" ht="15.75">
      <c r="A20" s="52" t="s">
        <v>354</v>
      </c>
      <c r="C20" s="11"/>
      <c r="D20" s="11"/>
      <c r="F20" s="94"/>
    </row>
    <row r="21" spans="3:4" ht="13.5" thickBot="1">
      <c r="C21" s="153"/>
      <c r="D21" s="153"/>
    </row>
    <row r="22" spans="1:4" ht="13.5" thickTop="1">
      <c r="A22" s="250" t="s">
        <v>353</v>
      </c>
      <c r="B22" s="251" t="s">
        <v>352</v>
      </c>
      <c r="C22" s="346" t="s">
        <v>356</v>
      </c>
      <c r="D22" s="153"/>
    </row>
    <row r="23" spans="1:4" ht="13.5" thickBot="1">
      <c r="A23" s="257"/>
      <c r="B23" s="316"/>
      <c r="C23" s="347"/>
      <c r="D23" s="153"/>
    </row>
    <row r="24" spans="1:3" ht="13.5" thickTop="1">
      <c r="A24" s="13" t="s">
        <v>69</v>
      </c>
      <c r="B24" s="15" t="s">
        <v>342</v>
      </c>
      <c r="C24" s="348">
        <f aca="true" t="shared" si="4" ref="C24:C29">H12</f>
        <v>4.282240496954756</v>
      </c>
    </row>
    <row r="25" spans="1:3" ht="12.75">
      <c r="A25" s="18"/>
      <c r="B25" s="19" t="s">
        <v>343</v>
      </c>
      <c r="C25" s="349">
        <f t="shared" si="4"/>
        <v>14.569461920673657</v>
      </c>
    </row>
    <row r="26" spans="1:3" ht="12.75">
      <c r="A26" s="18" t="s">
        <v>70</v>
      </c>
      <c r="B26" s="19" t="s">
        <v>342</v>
      </c>
      <c r="C26" s="349">
        <f t="shared" si="4"/>
        <v>11.443918569448053</v>
      </c>
    </row>
    <row r="27" spans="1:3" ht="12.75">
      <c r="A27" s="18"/>
      <c r="B27" s="19" t="s">
        <v>343</v>
      </c>
      <c r="C27" s="349">
        <f t="shared" si="4"/>
        <v>26.800918972320282</v>
      </c>
    </row>
    <row r="28" spans="1:3" ht="12.75">
      <c r="A28" s="18" t="s">
        <v>71</v>
      </c>
      <c r="B28" s="19" t="s">
        <v>342</v>
      </c>
      <c r="C28" s="349">
        <f t="shared" si="4"/>
        <v>4.749841470760161</v>
      </c>
    </row>
    <row r="29" spans="1:3" ht="13.5" thickBot="1">
      <c r="A29" s="14"/>
      <c r="B29" s="16" t="s">
        <v>343</v>
      </c>
      <c r="C29" s="350">
        <f t="shared" si="4"/>
        <v>11.14859163862359</v>
      </c>
    </row>
    <row r="30" spans="1:3" ht="14.25" thickBot="1" thickTop="1">
      <c r="A30" s="22"/>
      <c r="B30" s="40"/>
      <c r="C30" s="239"/>
    </row>
    <row r="31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&amp;LConceptversie - 20 juni 2007 (Alleen te gebruiken voor interne doeleinden)&amp;RTabblad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3">
      <selection activeCell="H14" sqref="H14"/>
    </sheetView>
  </sheetViews>
  <sheetFormatPr defaultColWidth="9.140625" defaultRowHeight="12.75"/>
  <cols>
    <col min="1" max="1" width="4.57421875" style="0" customWidth="1"/>
    <col min="2" max="2" width="8.421875" style="0" customWidth="1"/>
    <col min="3" max="3" width="11.140625" style="0" bestFit="1" customWidth="1"/>
    <col min="4" max="4" width="11.8515625" style="73" customWidth="1"/>
    <col min="5" max="5" width="10.8515625" style="0" bestFit="1" customWidth="1"/>
    <col min="6" max="6" width="12.8515625" style="0" bestFit="1" customWidth="1"/>
    <col min="7" max="7" width="11.00390625" style="0" bestFit="1" customWidth="1"/>
    <col min="8" max="9" width="9.8515625" style="0" customWidth="1"/>
    <col min="10" max="10" width="12.28125" style="0" customWidth="1"/>
    <col min="11" max="11" width="11.8515625" style="0" bestFit="1" customWidth="1"/>
    <col min="12" max="13" width="11.140625" style="0" bestFit="1" customWidth="1"/>
    <col min="15" max="15" width="11.140625" style="0" bestFit="1" customWidth="1"/>
    <col min="16" max="16" width="10.421875" style="0" bestFit="1" customWidth="1"/>
  </cols>
  <sheetData>
    <row r="1" spans="1:16" ht="21" thickTop="1">
      <c r="A1" s="4" t="s">
        <v>407</v>
      </c>
      <c r="O1" s="911" t="s">
        <v>84</v>
      </c>
      <c r="P1" s="912"/>
    </row>
    <row r="2" spans="15:16" ht="13.5" thickBot="1">
      <c r="O2" s="913" t="s">
        <v>355</v>
      </c>
      <c r="P2" s="914"/>
    </row>
    <row r="3" ht="13.5" thickTop="1">
      <c r="A3" s="1" t="s">
        <v>17</v>
      </c>
    </row>
    <row r="4" spans="1:7" ht="14.25">
      <c r="A4" t="s">
        <v>410</v>
      </c>
      <c r="F4" s="93">
        <v>100.90797578725827</v>
      </c>
      <c r="G4" t="s">
        <v>409</v>
      </c>
    </row>
    <row r="5" spans="1:7" ht="12.75">
      <c r="A5" s="476" t="s">
        <v>414</v>
      </c>
      <c r="B5" s="475"/>
      <c r="C5" s="475"/>
      <c r="D5" s="794"/>
      <c r="E5" s="475"/>
      <c r="F5" s="477"/>
      <c r="G5" s="478"/>
    </row>
    <row r="6" spans="1:7" ht="12.75">
      <c r="A6" s="201" t="s">
        <v>708</v>
      </c>
      <c r="F6" s="472">
        <f>SUM(Oppervlaktes!B8:B19)</f>
        <v>6040.186915887849</v>
      </c>
      <c r="G6" t="s">
        <v>408</v>
      </c>
    </row>
    <row r="7" spans="1:6" ht="12.75">
      <c r="A7" t="s">
        <v>413</v>
      </c>
      <c r="F7" s="94">
        <f>'Exploitatie MFC'!E44</f>
        <v>10113413.639699802</v>
      </c>
    </row>
    <row r="9" spans="1:10" ht="15.75">
      <c r="A9" s="790" t="s">
        <v>174</v>
      </c>
      <c r="B9" s="791"/>
      <c r="C9" s="792"/>
      <c r="D9" s="792"/>
      <c r="E9" s="792"/>
      <c r="F9" s="792"/>
      <c r="G9" s="792"/>
      <c r="H9" s="792"/>
      <c r="I9" s="792"/>
      <c r="J9" s="793"/>
    </row>
    <row r="10" spans="1:10" ht="12.75">
      <c r="A10" s="106"/>
      <c r="B10" s="106"/>
      <c r="C10" s="106"/>
      <c r="D10" s="795"/>
      <c r="E10" s="137"/>
      <c r="F10" s="137"/>
      <c r="G10" s="137"/>
      <c r="H10" s="137"/>
      <c r="I10" s="137"/>
      <c r="J10" s="106"/>
    </row>
    <row r="11" spans="1:16" ht="12.75">
      <c r="A11" s="754"/>
      <c r="B11" s="754"/>
      <c r="C11" s="808" t="s">
        <v>635</v>
      </c>
      <c r="D11" s="796"/>
      <c r="E11" s="755"/>
      <c r="F11" s="755"/>
      <c r="G11" s="755"/>
      <c r="H11" s="755"/>
      <c r="I11" s="755"/>
      <c r="J11" s="756"/>
      <c r="K11" s="776" t="s">
        <v>623</v>
      </c>
      <c r="L11" s="777"/>
      <c r="M11" s="777"/>
      <c r="N11" s="777"/>
      <c r="O11" s="777"/>
      <c r="P11" s="778"/>
    </row>
    <row r="12" spans="1:16" s="143" customFormat="1" ht="12.75">
      <c r="A12" s="772"/>
      <c r="B12" s="757" t="s">
        <v>194</v>
      </c>
      <c r="C12" s="772" t="s">
        <v>413</v>
      </c>
      <c r="D12" s="809" t="s">
        <v>406</v>
      </c>
      <c r="E12" s="473" t="s">
        <v>411</v>
      </c>
      <c r="F12" s="474" t="s">
        <v>256</v>
      </c>
      <c r="G12" s="473" t="s">
        <v>412</v>
      </c>
      <c r="H12" s="770" t="s">
        <v>179</v>
      </c>
      <c r="I12" s="870" t="s">
        <v>191</v>
      </c>
      <c r="J12" s="807" t="s">
        <v>634</v>
      </c>
      <c r="K12" s="802" t="s">
        <v>624</v>
      </c>
      <c r="L12" s="803" t="s">
        <v>625</v>
      </c>
      <c r="M12" s="804" t="s">
        <v>626</v>
      </c>
      <c r="N12" s="803" t="s">
        <v>149</v>
      </c>
      <c r="O12" s="805" t="s">
        <v>627</v>
      </c>
      <c r="P12" s="806" t="s">
        <v>628</v>
      </c>
    </row>
    <row r="13" spans="1:16" ht="12.75">
      <c r="A13" s="759">
        <v>-1</v>
      </c>
      <c r="B13" s="771">
        <v>2007</v>
      </c>
      <c r="C13" s="771"/>
      <c r="D13" s="797"/>
      <c r="E13" s="473"/>
      <c r="F13" s="474"/>
      <c r="G13" s="473"/>
      <c r="H13" s="758"/>
      <c r="I13" s="758"/>
      <c r="J13" s="766"/>
      <c r="K13" s="783"/>
      <c r="L13" s="780"/>
      <c r="M13" s="515"/>
      <c r="N13" s="783"/>
      <c r="O13" s="515"/>
      <c r="P13" s="786"/>
    </row>
    <row r="14" spans="1:16" ht="12.75">
      <c r="A14" s="759">
        <v>0</v>
      </c>
      <c r="B14" s="760">
        <v>2008</v>
      </c>
      <c r="C14" s="775">
        <f>F7</f>
        <v>10113413.639699802</v>
      </c>
      <c r="D14" s="798"/>
      <c r="E14" s="767"/>
      <c r="F14" s="768"/>
      <c r="G14" s="767"/>
      <c r="H14" s="769"/>
      <c r="I14" s="769"/>
      <c r="J14" s="773">
        <f>-C14+D14-E14-F14-G14-H14</f>
        <v>-10113413.639699802</v>
      </c>
      <c r="K14" s="784">
        <f>C14</f>
        <v>10113413.639699802</v>
      </c>
      <c r="L14" s="781"/>
      <c r="M14" s="779">
        <f>K14-L14</f>
        <v>10113413.639699802</v>
      </c>
      <c r="N14" s="781"/>
      <c r="O14" s="779">
        <f>K14-L14-N14</f>
        <v>10113413.639699802</v>
      </c>
      <c r="P14" s="787">
        <f>J14+O14</f>
        <v>0</v>
      </c>
    </row>
    <row r="15" spans="1:16" ht="12.75">
      <c r="A15" s="759">
        <v>1</v>
      </c>
      <c r="B15" s="760">
        <v>2009</v>
      </c>
      <c r="C15" s="760"/>
      <c r="D15" s="799">
        <f>(F4*F6)*(1+'Exploitatie MFC'!B11)</f>
        <v>624740.6109353984</v>
      </c>
      <c r="E15" s="761">
        <f>(3!E24+3A!B11)*(1+'Exploitatie MFC'!B10)</f>
        <v>14439.661197073974</v>
      </c>
      <c r="F15" s="762">
        <f>(4!D20)*(1+'Exploitatie MFC'!B10)</f>
        <v>12646.823756444604</v>
      </c>
      <c r="G15" s="761">
        <f>(5!C72)*(1+'Exploitatie MFC'!B10)</f>
        <v>218800.40434173678</v>
      </c>
      <c r="H15" s="761">
        <f>('Exploitatie MFC'!E85)*(1+'Exploitatie MFC'!B10)</f>
        <v>3625.475428932943</v>
      </c>
      <c r="I15" s="761"/>
      <c r="J15" s="773">
        <f aca="true" t="shared" si="0" ref="J15:J53">-C15+D15-E15-F15-G15-H15</f>
        <v>375228.24621121003</v>
      </c>
      <c r="K15" s="780"/>
      <c r="L15" s="781">
        <f>$K$14/(COUNT($A$15:$A$54))</f>
        <v>252835.34099249504</v>
      </c>
      <c r="M15" s="779">
        <f>M14-L15</f>
        <v>9860578.298707306</v>
      </c>
      <c r="N15" s="781">
        <f>M14*'Exploitatie MFC'!$B$9</f>
        <v>455103.61378649104</v>
      </c>
      <c r="O15" s="779">
        <f aca="true" t="shared" si="1" ref="O15:O54">K15-L15-N15</f>
        <v>-707938.954778986</v>
      </c>
      <c r="P15" s="787">
        <f aca="true" t="shared" si="2" ref="P15:P54">J15+O15</f>
        <v>-332710.708567776</v>
      </c>
    </row>
    <row r="16" spans="1:16" ht="12.75">
      <c r="A16" s="759">
        <v>2</v>
      </c>
      <c r="B16" s="760">
        <v>2010</v>
      </c>
      <c r="C16" s="760"/>
      <c r="D16" s="800">
        <f>D15*(1+'Exploitatie MFC'!$B$11)</f>
        <v>640359.1262087832</v>
      </c>
      <c r="E16" s="761">
        <f>E15*(1+'Exploitatie MFC'!$B$10)</f>
        <v>14800.652727000823</v>
      </c>
      <c r="F16" s="761">
        <f>F15*(1+'Exploitatie MFC'!$B$10)</f>
        <v>12962.994350355719</v>
      </c>
      <c r="G16" s="761">
        <f>G15*(1+'Exploitatie MFC'!$B$10)</f>
        <v>224270.4144502802</v>
      </c>
      <c r="H16" s="761">
        <f>H15*(1+'Exploitatie MFC'!$B$10)</f>
        <v>3716.1123146562663</v>
      </c>
      <c r="I16" s="761"/>
      <c r="J16" s="773">
        <f t="shared" si="0"/>
        <v>384608.9523664903</v>
      </c>
      <c r="K16" s="780"/>
      <c r="L16" s="781">
        <f aca="true" t="shared" si="3" ref="L16:L54">$K$14/(COUNT($A$15:$A$54))</f>
        <v>252835.34099249504</v>
      </c>
      <c r="M16" s="779">
        <f aca="true" t="shared" si="4" ref="M16:M54">M15-L16</f>
        <v>9607742.957714811</v>
      </c>
      <c r="N16" s="781">
        <f>M15*'Exploitatie MFC'!$B$9</f>
        <v>443726.0234418288</v>
      </c>
      <c r="O16" s="779">
        <f t="shared" si="1"/>
        <v>-696561.3644343239</v>
      </c>
      <c r="P16" s="787">
        <f t="shared" si="2"/>
        <v>-311952.41206783353</v>
      </c>
    </row>
    <row r="17" spans="1:16" ht="12.75">
      <c r="A17" s="759">
        <v>3</v>
      </c>
      <c r="B17" s="760">
        <v>2011</v>
      </c>
      <c r="C17" s="760"/>
      <c r="D17" s="800">
        <f>D16*(1+'Exploitatie MFC'!$B$11)</f>
        <v>656368.1043640028</v>
      </c>
      <c r="E17" s="761">
        <f>E16*(1+'Exploitatie MFC'!$B$10)</f>
        <v>15170.669045175842</v>
      </c>
      <c r="F17" s="761">
        <f>F16*(1+'Exploitatie MFC'!$B$10)</f>
        <v>13287.06920911461</v>
      </c>
      <c r="G17" s="761">
        <f>G16*(1+'Exploitatie MFC'!$B$10)</f>
        <v>229877.17481153717</v>
      </c>
      <c r="H17" s="761">
        <f>H16*(1+'Exploitatie MFC'!$B$10)</f>
        <v>3809.0151225226728</v>
      </c>
      <c r="I17" s="761"/>
      <c r="J17" s="773">
        <f t="shared" si="0"/>
        <v>394224.1761756525</v>
      </c>
      <c r="K17" s="780"/>
      <c r="L17" s="781">
        <f t="shared" si="3"/>
        <v>252835.34099249504</v>
      </c>
      <c r="M17" s="779">
        <f t="shared" si="4"/>
        <v>9354907.616722316</v>
      </c>
      <c r="N17" s="781">
        <f>M16*'Exploitatie MFC'!$B$9</f>
        <v>432348.4330971665</v>
      </c>
      <c r="O17" s="779">
        <f t="shared" si="1"/>
        <v>-685183.7740896615</v>
      </c>
      <c r="P17" s="787">
        <f t="shared" si="2"/>
        <v>-290959.59791400906</v>
      </c>
    </row>
    <row r="18" spans="1:16" ht="12.75">
      <c r="A18" s="759">
        <v>4</v>
      </c>
      <c r="B18" s="760">
        <v>2012</v>
      </c>
      <c r="C18" s="760"/>
      <c r="D18" s="800">
        <f>D17*(1+'Exploitatie MFC'!$B$11)</f>
        <v>672777.3069731029</v>
      </c>
      <c r="E18" s="761">
        <f>E17*(1+'Exploitatie MFC'!$B$10)</f>
        <v>15549.935771305238</v>
      </c>
      <c r="F18" s="761">
        <f>F17*(1+'Exploitatie MFC'!$B$10)</f>
        <v>13619.245939342474</v>
      </c>
      <c r="G18" s="761">
        <f>G17*(1+'Exploitatie MFC'!$B$10)</f>
        <v>235624.1041818256</v>
      </c>
      <c r="H18" s="761">
        <f>H17*(1+'Exploitatie MFC'!$B$10)</f>
        <v>3904.240500585739</v>
      </c>
      <c r="I18" s="761"/>
      <c r="J18" s="773">
        <f t="shared" si="0"/>
        <v>404079.78058004385</v>
      </c>
      <c r="K18" s="780"/>
      <c r="L18" s="781">
        <f t="shared" si="3"/>
        <v>252835.34099249504</v>
      </c>
      <c r="M18" s="779">
        <f t="shared" si="4"/>
        <v>9102072.27572982</v>
      </c>
      <c r="N18" s="781">
        <f>M17*'Exploitatie MFC'!$B$9</f>
        <v>420970.84275250416</v>
      </c>
      <c r="O18" s="779">
        <f t="shared" si="1"/>
        <v>-673806.1837449992</v>
      </c>
      <c r="P18" s="787">
        <f t="shared" si="2"/>
        <v>-269726.4031649554</v>
      </c>
    </row>
    <row r="19" spans="1:16" ht="12.75">
      <c r="A19" s="759">
        <v>5</v>
      </c>
      <c r="B19" s="760">
        <v>2013</v>
      </c>
      <c r="C19" s="760"/>
      <c r="D19" s="800">
        <f>D18*(1+'Exploitatie MFC'!$B$11)</f>
        <v>689596.7396474304</v>
      </c>
      <c r="E19" s="761">
        <f>E18*(1+'Exploitatie MFC'!$B$10)</f>
        <v>15938.684165587867</v>
      </c>
      <c r="F19" s="761">
        <f>F18*(1+'Exploitatie MFC'!$B$10)</f>
        <v>13959.727087826035</v>
      </c>
      <c r="G19" s="761">
        <f>G18*(1+'Exploitatie MFC'!$B$10)</f>
        <v>241514.7067863712</v>
      </c>
      <c r="H19" s="761">
        <f>H18*(1+'Exploitatie MFC'!$B$10)</f>
        <v>4001.8465131003823</v>
      </c>
      <c r="I19" s="761"/>
      <c r="J19" s="773">
        <f t="shared" si="0"/>
        <v>414181.7750945449</v>
      </c>
      <c r="K19" s="780"/>
      <c r="L19" s="781">
        <f t="shared" si="3"/>
        <v>252835.34099249504</v>
      </c>
      <c r="M19" s="779">
        <f t="shared" si="4"/>
        <v>8849236.934737325</v>
      </c>
      <c r="N19" s="781">
        <f>M18*'Exploitatie MFC'!$B$9</f>
        <v>409593.2524078419</v>
      </c>
      <c r="O19" s="779">
        <f t="shared" si="1"/>
        <v>-662428.5934003369</v>
      </c>
      <c r="P19" s="787">
        <f t="shared" si="2"/>
        <v>-248246.818305792</v>
      </c>
    </row>
    <row r="20" spans="1:16" ht="12.75">
      <c r="A20" s="759">
        <v>6</v>
      </c>
      <c r="B20" s="760">
        <v>2014</v>
      </c>
      <c r="C20" s="760"/>
      <c r="D20" s="800">
        <f>D19*(1+'Exploitatie MFC'!$B$11)</f>
        <v>706836.658138616</v>
      </c>
      <c r="E20" s="761">
        <f>E19*(1+'Exploitatie MFC'!$B$10)</f>
        <v>16337.151269727563</v>
      </c>
      <c r="F20" s="761">
        <f>F19*(1+'Exploitatie MFC'!$B$10)</f>
        <v>14308.720265021684</v>
      </c>
      <c r="G20" s="761">
        <f>G19*(1+'Exploitatie MFC'!$B$10)</f>
        <v>247552.57445603047</v>
      </c>
      <c r="H20" s="761">
        <f>H19*(1+'Exploitatie MFC'!$B$10)</f>
        <v>4101.892675927891</v>
      </c>
      <c r="I20" s="761"/>
      <c r="J20" s="773">
        <f t="shared" si="0"/>
        <v>424536.3194719083</v>
      </c>
      <c r="K20" s="780"/>
      <c r="L20" s="781">
        <f t="shared" si="3"/>
        <v>252835.34099249504</v>
      </c>
      <c r="M20" s="779">
        <f t="shared" si="4"/>
        <v>8596401.59374483</v>
      </c>
      <c r="N20" s="781">
        <f>M19*'Exploitatie MFC'!$B$9</f>
        <v>398215.6620631796</v>
      </c>
      <c r="O20" s="779">
        <f t="shared" si="1"/>
        <v>-651051.0030556746</v>
      </c>
      <c r="P20" s="787">
        <f t="shared" si="2"/>
        <v>-226514.68358376628</v>
      </c>
    </row>
    <row r="21" spans="1:16" ht="12.75">
      <c r="A21" s="759">
        <v>7</v>
      </c>
      <c r="B21" s="760">
        <v>2015</v>
      </c>
      <c r="C21" s="760"/>
      <c r="D21" s="800">
        <f>D20*(1+'Exploitatie MFC'!$B$11)</f>
        <v>724507.5745920814</v>
      </c>
      <c r="E21" s="761">
        <f>E20*(1+'Exploitatie MFC'!$B$10)</f>
        <v>16745.58005147075</v>
      </c>
      <c r="F21" s="761">
        <f>F20*(1+'Exploitatie MFC'!$B$10)</f>
        <v>14666.438271647225</v>
      </c>
      <c r="G21" s="761">
        <f>G20*(1+'Exploitatie MFC'!$B$10)</f>
        <v>253741.3888174312</v>
      </c>
      <c r="H21" s="761">
        <f>H20*(1+'Exploitatie MFC'!$B$10)</f>
        <v>4204.439992826088</v>
      </c>
      <c r="I21" s="761"/>
      <c r="J21" s="773">
        <f t="shared" si="0"/>
        <v>435149.7274587061</v>
      </c>
      <c r="K21" s="780"/>
      <c r="L21" s="781">
        <f t="shared" si="3"/>
        <v>252835.34099249504</v>
      </c>
      <c r="M21" s="779">
        <f t="shared" si="4"/>
        <v>8343566.252752334</v>
      </c>
      <c r="N21" s="781">
        <f>M20*'Exploitatie MFC'!$B$9</f>
        <v>386838.0717185173</v>
      </c>
      <c r="O21" s="779">
        <f t="shared" si="1"/>
        <v>-639673.4127110123</v>
      </c>
      <c r="P21" s="787">
        <f t="shared" si="2"/>
        <v>-204523.68525230617</v>
      </c>
    </row>
    <row r="22" spans="1:16" ht="12.75">
      <c r="A22" s="759">
        <v>8</v>
      </c>
      <c r="B22" s="760">
        <v>2016</v>
      </c>
      <c r="C22" s="760"/>
      <c r="D22" s="800">
        <f>D21*(1+'Exploitatie MFC'!$B$11)</f>
        <v>742620.2639568833</v>
      </c>
      <c r="E22" s="761">
        <f>E21*(1+'Exploitatie MFC'!$B$10)</f>
        <v>17164.21955275752</v>
      </c>
      <c r="F22" s="761">
        <f>F21*(1+'Exploitatie MFC'!$B$10)</f>
        <v>15033.099228438405</v>
      </c>
      <c r="G22" s="761">
        <f>G21*(1+'Exploitatie MFC'!$B$10)</f>
        <v>260084.92353786697</v>
      </c>
      <c r="H22" s="761">
        <f>H21*(1+'Exploitatie MFC'!$B$10)</f>
        <v>4309.55099264674</v>
      </c>
      <c r="I22" s="761"/>
      <c r="J22" s="773">
        <f t="shared" si="0"/>
        <v>446028.4706451736</v>
      </c>
      <c r="K22" s="780"/>
      <c r="L22" s="781">
        <f t="shared" si="3"/>
        <v>252835.34099249504</v>
      </c>
      <c r="M22" s="779">
        <f t="shared" si="4"/>
        <v>8090730.911759838</v>
      </c>
      <c r="N22" s="781">
        <f>M21*'Exploitatie MFC'!$B$9</f>
        <v>375460.48137385503</v>
      </c>
      <c r="O22" s="779">
        <f t="shared" si="1"/>
        <v>-628295.8223663501</v>
      </c>
      <c r="P22" s="787">
        <f t="shared" si="2"/>
        <v>-182267.35172117647</v>
      </c>
    </row>
    <row r="23" spans="1:16" ht="12.75">
      <c r="A23" s="759">
        <v>9</v>
      </c>
      <c r="B23" s="760">
        <v>2017</v>
      </c>
      <c r="C23" s="760"/>
      <c r="D23" s="800">
        <f>D22*(1+'Exploitatie MFC'!$B$11)</f>
        <v>761185.7705558054</v>
      </c>
      <c r="E23" s="761">
        <f>E22*(1+'Exploitatie MFC'!$B$10)</f>
        <v>17593.325041576456</v>
      </c>
      <c r="F23" s="761">
        <f>F22*(1+'Exploitatie MFC'!$B$10)</f>
        <v>15408.926709149364</v>
      </c>
      <c r="G23" s="761">
        <f>G22*(1+'Exploitatie MFC'!$B$10)</f>
        <v>266587.04662631365</v>
      </c>
      <c r="H23" s="761">
        <f>H22*(1+'Exploitatie MFC'!$B$10)</f>
        <v>4417.2897674629085</v>
      </c>
      <c r="I23" s="761"/>
      <c r="J23" s="773">
        <f t="shared" si="0"/>
        <v>457179.18241130305</v>
      </c>
      <c r="K23" s="780"/>
      <c r="L23" s="781">
        <f t="shared" si="3"/>
        <v>252835.34099249504</v>
      </c>
      <c r="M23" s="779">
        <f t="shared" si="4"/>
        <v>7837895.570767343</v>
      </c>
      <c r="N23" s="781">
        <f>M22*'Exploitatie MFC'!$B$9</f>
        <v>364082.8910291927</v>
      </c>
      <c r="O23" s="779">
        <f t="shared" si="1"/>
        <v>-616918.2320216878</v>
      </c>
      <c r="P23" s="787">
        <f t="shared" si="2"/>
        <v>-159739.04961038474</v>
      </c>
    </row>
    <row r="24" spans="1:16" ht="12.75">
      <c r="A24" s="759">
        <v>10</v>
      </c>
      <c r="B24" s="760">
        <v>2018</v>
      </c>
      <c r="C24" s="760"/>
      <c r="D24" s="800">
        <f>D23*(1+'Exploitatie MFC'!$B$11)</f>
        <v>780215.4148197005</v>
      </c>
      <c r="E24" s="761">
        <f>E23*(1+'Exploitatie MFC'!$B$10)</f>
        <v>18033.158167615868</v>
      </c>
      <c r="F24" s="761">
        <f>F23*(1+'Exploitatie MFC'!$B$10)</f>
        <v>15794.149876878097</v>
      </c>
      <c r="G24" s="761">
        <f>G23*(1+'Exploitatie MFC'!$B$10)</f>
        <v>273251.72279197146</v>
      </c>
      <c r="H24" s="761">
        <f>H23*(1+'Exploitatie MFC'!$B$10)</f>
        <v>4527.722011649481</v>
      </c>
      <c r="I24" s="761"/>
      <c r="J24" s="773">
        <f t="shared" si="0"/>
        <v>468608.6619715856</v>
      </c>
      <c r="K24" s="780"/>
      <c r="L24" s="781">
        <f t="shared" si="3"/>
        <v>252835.34099249504</v>
      </c>
      <c r="M24" s="779">
        <f t="shared" si="4"/>
        <v>7585060.229774848</v>
      </c>
      <c r="N24" s="781">
        <f>M23*'Exploitatie MFC'!$B$9</f>
        <v>352705.3006845304</v>
      </c>
      <c r="O24" s="779">
        <f t="shared" si="1"/>
        <v>-605540.6416770255</v>
      </c>
      <c r="P24" s="787">
        <f t="shared" si="2"/>
        <v>-136931.97970543988</v>
      </c>
    </row>
    <row r="25" spans="1:16" ht="12.75">
      <c r="A25" s="759">
        <v>11</v>
      </c>
      <c r="B25" s="760">
        <v>2019</v>
      </c>
      <c r="C25" s="760"/>
      <c r="D25" s="800">
        <f>D24*(1+'Exploitatie MFC'!$B$11)</f>
        <v>799720.800190193</v>
      </c>
      <c r="E25" s="761">
        <f>E24*(1+'Exploitatie MFC'!$B$10)</f>
        <v>18483.98712180626</v>
      </c>
      <c r="F25" s="761">
        <f>F24*(1+'Exploitatie MFC'!$B$10)</f>
        <v>16189.003623800048</v>
      </c>
      <c r="G25" s="761">
        <f>G24*(1+'Exploitatie MFC'!$B$10)</f>
        <v>280083.0158617707</v>
      </c>
      <c r="H25" s="761">
        <f>H24*(1+'Exploitatie MFC'!$B$10)</f>
        <v>4640.915061940717</v>
      </c>
      <c r="I25" s="761"/>
      <c r="J25" s="773">
        <f t="shared" si="0"/>
        <v>480323.8785208753</v>
      </c>
      <c r="K25" s="780"/>
      <c r="L25" s="781">
        <f t="shared" si="3"/>
        <v>252835.34099249504</v>
      </c>
      <c r="M25" s="779">
        <f t="shared" si="4"/>
        <v>7332224.888782352</v>
      </c>
      <c r="N25" s="781">
        <f>M24*'Exploitatie MFC'!$B$9</f>
        <v>341327.71033986815</v>
      </c>
      <c r="O25" s="779">
        <f t="shared" si="1"/>
        <v>-594163.0513323632</v>
      </c>
      <c r="P25" s="787">
        <f t="shared" si="2"/>
        <v>-113839.17281148786</v>
      </c>
    </row>
    <row r="26" spans="1:16" ht="12.75">
      <c r="A26" s="759">
        <v>12</v>
      </c>
      <c r="B26" s="760">
        <v>2020</v>
      </c>
      <c r="C26" s="760"/>
      <c r="D26" s="800">
        <f>D25*(1+'Exploitatie MFC'!$B$11)</f>
        <v>819713.8201949478</v>
      </c>
      <c r="E26" s="761">
        <f>E25*(1+'Exploitatie MFC'!$B$10)</f>
        <v>18946.086799851415</v>
      </c>
      <c r="F26" s="761">
        <f>F25*(1+'Exploitatie MFC'!$B$10)</f>
        <v>16593.72871439505</v>
      </c>
      <c r="G26" s="761">
        <f>G25*(1+'Exploitatie MFC'!$B$10)</f>
        <v>287085.09125831496</v>
      </c>
      <c r="H26" s="761">
        <f>H25*(1+'Exploitatie MFC'!$B$10)</f>
        <v>4756.9379384892345</v>
      </c>
      <c r="I26" s="761"/>
      <c r="J26" s="773">
        <f t="shared" si="0"/>
        <v>492331.9754838971</v>
      </c>
      <c r="K26" s="780"/>
      <c r="L26" s="781">
        <f t="shared" si="3"/>
        <v>252835.34099249504</v>
      </c>
      <c r="M26" s="779">
        <f t="shared" si="4"/>
        <v>7079389.547789857</v>
      </c>
      <c r="N26" s="781">
        <f>M25*'Exploitatie MFC'!$B$9</f>
        <v>329950.11999520584</v>
      </c>
      <c r="O26" s="779">
        <f t="shared" si="1"/>
        <v>-582785.4609877008</v>
      </c>
      <c r="P26" s="787">
        <f t="shared" si="2"/>
        <v>-90453.48550380376</v>
      </c>
    </row>
    <row r="27" spans="1:16" ht="12.75">
      <c r="A27" s="759">
        <v>13</v>
      </c>
      <c r="B27" s="760">
        <v>2021</v>
      </c>
      <c r="C27" s="760"/>
      <c r="D27" s="800">
        <f>D26*(1+'Exploitatie MFC'!$B$11)</f>
        <v>840206.6656998214</v>
      </c>
      <c r="E27" s="761">
        <f>E26*(1+'Exploitatie MFC'!$B$10)</f>
        <v>19419.738969847698</v>
      </c>
      <c r="F27" s="761">
        <f>F26*(1+'Exploitatie MFC'!$B$10)</f>
        <v>17008.571932254923</v>
      </c>
      <c r="G27" s="761">
        <f>G26*(1+'Exploitatie MFC'!$B$10)</f>
        <v>294262.2185397728</v>
      </c>
      <c r="H27" s="761">
        <f>H26*(1+'Exploitatie MFC'!$B$10)</f>
        <v>4875.861386951465</v>
      </c>
      <c r="I27" s="761"/>
      <c r="J27" s="773">
        <f t="shared" si="0"/>
        <v>504640.27487099456</v>
      </c>
      <c r="K27" s="780"/>
      <c r="L27" s="781">
        <f t="shared" si="3"/>
        <v>252835.34099249504</v>
      </c>
      <c r="M27" s="779">
        <f t="shared" si="4"/>
        <v>6826554.206797361</v>
      </c>
      <c r="N27" s="781">
        <f>M26*'Exploitatie MFC'!$B$9</f>
        <v>318572.5296505435</v>
      </c>
      <c r="O27" s="779">
        <f t="shared" si="1"/>
        <v>-571407.8706430385</v>
      </c>
      <c r="P27" s="787">
        <f t="shared" si="2"/>
        <v>-66767.59577204398</v>
      </c>
    </row>
    <row r="28" spans="1:16" ht="12.75">
      <c r="A28" s="759">
        <v>14</v>
      </c>
      <c r="B28" s="760">
        <v>2022</v>
      </c>
      <c r="C28" s="760"/>
      <c r="D28" s="800">
        <f>D27*(1+'Exploitatie MFC'!$B$11)</f>
        <v>861211.8323423169</v>
      </c>
      <c r="E28" s="761">
        <f>E27*(1+'Exploitatie MFC'!$B$10)</f>
        <v>19905.23244409389</v>
      </c>
      <c r="F28" s="761">
        <f>F27*(1+'Exploitatie MFC'!$B$10)</f>
        <v>17433.786230561294</v>
      </c>
      <c r="G28" s="761">
        <f>G27*(1+'Exploitatie MFC'!$B$10)</f>
        <v>301618.77400326706</v>
      </c>
      <c r="H28" s="761">
        <f>H27*(1+'Exploitatie MFC'!$B$10)</f>
        <v>4997.757921625251</v>
      </c>
      <c r="I28" s="761"/>
      <c r="J28" s="773">
        <f t="shared" si="0"/>
        <v>517256.2817427693</v>
      </c>
      <c r="K28" s="780"/>
      <c r="L28" s="781">
        <f t="shared" si="3"/>
        <v>252835.34099249504</v>
      </c>
      <c r="M28" s="779">
        <f t="shared" si="4"/>
        <v>6573718.865804866</v>
      </c>
      <c r="N28" s="781">
        <f>M27*'Exploitatie MFC'!$B$9</f>
        <v>307194.9393058813</v>
      </c>
      <c r="O28" s="779">
        <f t="shared" si="1"/>
        <v>-560030.2802983763</v>
      </c>
      <c r="P28" s="787">
        <f t="shared" si="2"/>
        <v>-42773.998555607046</v>
      </c>
    </row>
    <row r="29" spans="1:16" ht="12.75">
      <c r="A29" s="759">
        <v>15</v>
      </c>
      <c r="B29" s="760">
        <v>2023</v>
      </c>
      <c r="C29" s="760"/>
      <c r="D29" s="800">
        <f>D28*(1+'Exploitatie MFC'!$B$11)</f>
        <v>882742.1281508747</v>
      </c>
      <c r="E29" s="761">
        <f>E28*(1+'Exploitatie MFC'!$B$10)</f>
        <v>20402.863255196236</v>
      </c>
      <c r="F29" s="761">
        <f>F28*(1+'Exploitatie MFC'!$B$10)</f>
        <v>17869.630886325325</v>
      </c>
      <c r="G29" s="761">
        <f>G28*(1+'Exploitatie MFC'!$B$10)</f>
        <v>309159.2433533487</v>
      </c>
      <c r="H29" s="761">
        <f>H28*(1+'Exploitatie MFC'!$B$10)</f>
        <v>5122.7018696658815</v>
      </c>
      <c r="I29" s="761"/>
      <c r="J29" s="773">
        <f t="shared" si="0"/>
        <v>530187.6887863385</v>
      </c>
      <c r="K29" s="780"/>
      <c r="L29" s="781">
        <f t="shared" si="3"/>
        <v>252835.34099249504</v>
      </c>
      <c r="M29" s="779">
        <f t="shared" si="4"/>
        <v>6320883.524812371</v>
      </c>
      <c r="N29" s="781">
        <f>M28*'Exploitatie MFC'!$B$9</f>
        <v>295817.34896121896</v>
      </c>
      <c r="O29" s="779">
        <f t="shared" si="1"/>
        <v>-548652.689953714</v>
      </c>
      <c r="P29" s="787">
        <f t="shared" si="2"/>
        <v>-18465.001167375478</v>
      </c>
    </row>
    <row r="30" spans="1:16" ht="12.75">
      <c r="A30" s="759">
        <v>16</v>
      </c>
      <c r="B30" s="760">
        <v>2024</v>
      </c>
      <c r="C30" s="760"/>
      <c r="D30" s="800">
        <f>D29*(1+'Exploitatie MFC'!$B$11)</f>
        <v>904810.6813546466</v>
      </c>
      <c r="E30" s="761">
        <f>E29*(1+'Exploitatie MFC'!$B$10)</f>
        <v>20912.93483657614</v>
      </c>
      <c r="F30" s="761">
        <f>F29*(1+'Exploitatie MFC'!$B$10)</f>
        <v>18316.37165848346</v>
      </c>
      <c r="G30" s="761">
        <f>G29*(1+'Exploitatie MFC'!$B$10)</f>
        <v>316888.22443718236</v>
      </c>
      <c r="H30" s="761">
        <f>H29*(1+'Exploitatie MFC'!$B$10)</f>
        <v>5250.769416407528</v>
      </c>
      <c r="I30" s="761"/>
      <c r="J30" s="773">
        <f t="shared" si="0"/>
        <v>543442.3810059972</v>
      </c>
      <c r="K30" s="780"/>
      <c r="L30" s="781">
        <f t="shared" si="3"/>
        <v>252835.34099249504</v>
      </c>
      <c r="M30" s="779">
        <f t="shared" si="4"/>
        <v>6068048.183819875</v>
      </c>
      <c r="N30" s="781">
        <f>M29*'Exploitatie MFC'!$B$9</f>
        <v>284439.75861655665</v>
      </c>
      <c r="O30" s="779">
        <f t="shared" si="1"/>
        <v>-537275.0996090517</v>
      </c>
      <c r="P30" s="787">
        <f t="shared" si="2"/>
        <v>6167.281396945473</v>
      </c>
    </row>
    <row r="31" spans="1:16" ht="12.75">
      <c r="A31" s="759">
        <v>17</v>
      </c>
      <c r="B31" s="760">
        <v>2025</v>
      </c>
      <c r="C31" s="760"/>
      <c r="D31" s="800">
        <f>D30*(1+'Exploitatie MFC'!$B$11)</f>
        <v>927430.9483885127</v>
      </c>
      <c r="E31" s="761">
        <f>E30*(1+'Exploitatie MFC'!$B$10)</f>
        <v>21435.75820749054</v>
      </c>
      <c r="F31" s="761">
        <f>F30*(1+'Exploitatie MFC'!$B$10)</f>
        <v>18774.280949945543</v>
      </c>
      <c r="G31" s="761">
        <f>G30*(1+'Exploitatie MFC'!$B$10)</f>
        <v>324810.4300481119</v>
      </c>
      <c r="H31" s="761">
        <f>H30*(1+'Exploitatie MFC'!$B$10)</f>
        <v>5382.038651817716</v>
      </c>
      <c r="I31" s="761"/>
      <c r="J31" s="773">
        <f t="shared" si="0"/>
        <v>557028.440531147</v>
      </c>
      <c r="K31" s="780"/>
      <c r="L31" s="781">
        <f t="shared" si="3"/>
        <v>252835.34099249504</v>
      </c>
      <c r="M31" s="779">
        <f t="shared" si="4"/>
        <v>5815212.84282738</v>
      </c>
      <c r="N31" s="781">
        <f>M30*'Exploitatie MFC'!$B$9</f>
        <v>273062.1682718944</v>
      </c>
      <c r="O31" s="779">
        <f t="shared" si="1"/>
        <v>-525897.5092643894</v>
      </c>
      <c r="P31" s="787">
        <f t="shared" si="2"/>
        <v>31130.931266757543</v>
      </c>
    </row>
    <row r="32" spans="1:16" ht="12.75">
      <c r="A32" s="759">
        <v>18</v>
      </c>
      <c r="B32" s="760">
        <v>2026</v>
      </c>
      <c r="C32" s="760"/>
      <c r="D32" s="800">
        <f>D31*(1+'Exploitatie MFC'!$B$11)</f>
        <v>950616.7220982255</v>
      </c>
      <c r="E32" s="761">
        <f>E31*(1+'Exploitatie MFC'!$B$10)</f>
        <v>21971.6521626778</v>
      </c>
      <c r="F32" s="761">
        <f>F31*(1+'Exploitatie MFC'!$B$10)</f>
        <v>19243.63797369418</v>
      </c>
      <c r="G32" s="761">
        <f>G31*(1+'Exploitatie MFC'!$B$10)</f>
        <v>332930.69079931465</v>
      </c>
      <c r="H32" s="761">
        <f>H31*(1+'Exploitatie MFC'!$B$10)</f>
        <v>5516.589618113158</v>
      </c>
      <c r="I32" s="761"/>
      <c r="J32" s="773">
        <f t="shared" si="0"/>
        <v>570954.1515444258</v>
      </c>
      <c r="K32" s="780"/>
      <c r="L32" s="781">
        <f t="shared" si="3"/>
        <v>252835.34099249504</v>
      </c>
      <c r="M32" s="779">
        <f t="shared" si="4"/>
        <v>5562377.501834884</v>
      </c>
      <c r="N32" s="781">
        <f>M31*'Exploitatie MFC'!$B$9</f>
        <v>261684.57792723208</v>
      </c>
      <c r="O32" s="779">
        <f t="shared" si="1"/>
        <v>-514519.9189197271</v>
      </c>
      <c r="P32" s="787">
        <f t="shared" si="2"/>
        <v>56434.23262469866</v>
      </c>
    </row>
    <row r="33" spans="1:16" ht="12.75">
      <c r="A33" s="759">
        <v>19</v>
      </c>
      <c r="B33" s="760">
        <v>2027</v>
      </c>
      <c r="C33" s="760"/>
      <c r="D33" s="800">
        <f>D32*(1+'Exploitatie MFC'!$B$11)</f>
        <v>974382.140150681</v>
      </c>
      <c r="E33" s="761">
        <f>E32*(1+'Exploitatie MFC'!$B$10)</f>
        <v>22520.943466744746</v>
      </c>
      <c r="F33" s="761">
        <f>F32*(1+'Exploitatie MFC'!$B$10)</f>
        <v>19724.728923036535</v>
      </c>
      <c r="G33" s="761">
        <f>G32*(1+'Exploitatie MFC'!$B$10)</f>
        <v>341253.9580692975</v>
      </c>
      <c r="H33" s="761">
        <f>H32*(1+'Exploitatie MFC'!$B$10)</f>
        <v>5654.504358565987</v>
      </c>
      <c r="I33" s="761"/>
      <c r="J33" s="773">
        <f t="shared" si="0"/>
        <v>585228.0053330363</v>
      </c>
      <c r="K33" s="780"/>
      <c r="L33" s="781">
        <f t="shared" si="3"/>
        <v>252835.34099249504</v>
      </c>
      <c r="M33" s="779">
        <f t="shared" si="4"/>
        <v>5309542.160842389</v>
      </c>
      <c r="N33" s="781">
        <f>M32*'Exploitatie MFC'!$B$9</f>
        <v>250306.9875825698</v>
      </c>
      <c r="O33" s="779">
        <f t="shared" si="1"/>
        <v>-503142.32857506484</v>
      </c>
      <c r="P33" s="787">
        <f t="shared" si="2"/>
        <v>82085.67675797147</v>
      </c>
    </row>
    <row r="34" spans="1:16" ht="12.75">
      <c r="A34" s="759">
        <v>20</v>
      </c>
      <c r="B34" s="760">
        <v>2028</v>
      </c>
      <c r="C34" s="760"/>
      <c r="D34" s="800">
        <f>D33*(1+'Exploitatie MFC'!$B$11)</f>
        <v>998741.6936544479</v>
      </c>
      <c r="E34" s="761">
        <f>E33*(1+'Exploitatie MFC'!$B$10)</f>
        <v>23083.967053413362</v>
      </c>
      <c r="F34" s="761">
        <f>F33*(1+'Exploitatie MFC'!$B$10)</f>
        <v>20217.847146112446</v>
      </c>
      <c r="G34" s="761">
        <f>G33*(1+'Exploitatie MFC'!$B$10)</f>
        <v>349785.3070210299</v>
      </c>
      <c r="H34" s="761">
        <f>H33*(1+'Exploitatie MFC'!$B$10)</f>
        <v>5795.866967530136</v>
      </c>
      <c r="I34" s="761"/>
      <c r="J34" s="773">
        <f t="shared" si="0"/>
        <v>599858.7054663621</v>
      </c>
      <c r="K34" s="780"/>
      <c r="L34" s="781">
        <f t="shared" si="3"/>
        <v>252835.34099249504</v>
      </c>
      <c r="M34" s="779">
        <f t="shared" si="4"/>
        <v>5056706.819849893</v>
      </c>
      <c r="N34" s="781">
        <f>M33*'Exploitatie MFC'!$B$9</f>
        <v>238929.39723790748</v>
      </c>
      <c r="O34" s="779">
        <f t="shared" si="1"/>
        <v>-491764.7382304025</v>
      </c>
      <c r="P34" s="787">
        <f t="shared" si="2"/>
        <v>108093.96723595954</v>
      </c>
    </row>
    <row r="35" spans="1:16" ht="12.75">
      <c r="A35" s="759">
        <v>21</v>
      </c>
      <c r="B35" s="760">
        <v>2029</v>
      </c>
      <c r="C35" s="760"/>
      <c r="D35" s="800">
        <f>D34*(1+'Exploitatie MFC'!$B$11)</f>
        <v>1023710.235995809</v>
      </c>
      <c r="E35" s="761">
        <f>E34*(1+'Exploitatie MFC'!$B$10)</f>
        <v>23661.066229748692</v>
      </c>
      <c r="F35" s="761">
        <f>F34*(1+'Exploitatie MFC'!$B$10)</f>
        <v>20723.293324765255</v>
      </c>
      <c r="G35" s="761">
        <f>G34*(1+'Exploitatie MFC'!$B$10)</f>
        <v>358529.9396965556</v>
      </c>
      <c r="H35" s="761">
        <f>H34*(1+'Exploitatie MFC'!$B$10)</f>
        <v>5940.763641718389</v>
      </c>
      <c r="I35" s="761"/>
      <c r="J35" s="773">
        <f t="shared" si="0"/>
        <v>614855.173103021</v>
      </c>
      <c r="K35" s="780"/>
      <c r="L35" s="781">
        <f t="shared" si="3"/>
        <v>252835.34099249504</v>
      </c>
      <c r="M35" s="779">
        <f t="shared" si="4"/>
        <v>4803871.478857398</v>
      </c>
      <c r="N35" s="781">
        <f>M34*'Exploitatie MFC'!$B$9</f>
        <v>227551.8068932452</v>
      </c>
      <c r="O35" s="779">
        <f t="shared" si="1"/>
        <v>-480387.14788574027</v>
      </c>
      <c r="P35" s="787">
        <f t="shared" si="2"/>
        <v>134468.02521728072</v>
      </c>
    </row>
    <row r="36" spans="1:16" ht="12.75">
      <c r="A36" s="759">
        <v>22</v>
      </c>
      <c r="B36" s="760">
        <v>2030</v>
      </c>
      <c r="C36" s="760"/>
      <c r="D36" s="800">
        <f>D35*(1+'Exploitatie MFC'!$B$11)</f>
        <v>1049302.991895704</v>
      </c>
      <c r="E36" s="761">
        <f>E35*(1+'Exploitatie MFC'!$B$10)</f>
        <v>24252.592885492406</v>
      </c>
      <c r="F36" s="761">
        <f>F35*(1+'Exploitatie MFC'!$B$10)</f>
        <v>21241.375657884382</v>
      </c>
      <c r="G36" s="761">
        <f>G35*(1+'Exploitatie MFC'!$B$10)</f>
        <v>367493.18818896945</v>
      </c>
      <c r="H36" s="761">
        <f>H35*(1+'Exploitatie MFC'!$B$10)</f>
        <v>6089.282732761349</v>
      </c>
      <c r="I36" s="761"/>
      <c r="J36" s="773">
        <f t="shared" si="0"/>
        <v>630226.5524305966</v>
      </c>
      <c r="K36" s="780"/>
      <c r="L36" s="781">
        <f t="shared" si="3"/>
        <v>252835.34099249504</v>
      </c>
      <c r="M36" s="779">
        <f t="shared" si="4"/>
        <v>4551036.137864903</v>
      </c>
      <c r="N36" s="781">
        <f>M35*'Exploitatie MFC'!$B$9</f>
        <v>216174.21654858292</v>
      </c>
      <c r="O36" s="779">
        <f t="shared" si="1"/>
        <v>-469009.55754107796</v>
      </c>
      <c r="P36" s="787">
        <f t="shared" si="2"/>
        <v>161216.9948895186</v>
      </c>
    </row>
    <row r="37" spans="1:16" ht="12.75">
      <c r="A37" s="759">
        <v>23</v>
      </c>
      <c r="B37" s="760">
        <v>2031</v>
      </c>
      <c r="C37" s="760"/>
      <c r="D37" s="800">
        <f>D36*(1+'Exploitatie MFC'!$B$11)</f>
        <v>1075535.5666930967</v>
      </c>
      <c r="E37" s="761">
        <f>E36*(1+'Exploitatie MFC'!$B$10)</f>
        <v>24858.907707629714</v>
      </c>
      <c r="F37" s="761">
        <f>F36*(1+'Exploitatie MFC'!$B$10)</f>
        <v>21772.41004933149</v>
      </c>
      <c r="G37" s="761">
        <f>G36*(1+'Exploitatie MFC'!$B$10)</f>
        <v>376680.51789369364</v>
      </c>
      <c r="H37" s="761">
        <f>H36*(1+'Exploitatie MFC'!$B$10)</f>
        <v>6241.514801080381</v>
      </c>
      <c r="I37" s="761"/>
      <c r="J37" s="773">
        <f t="shared" si="0"/>
        <v>645982.2162413615</v>
      </c>
      <c r="K37" s="780"/>
      <c r="L37" s="781">
        <f t="shared" si="3"/>
        <v>252835.34099249504</v>
      </c>
      <c r="M37" s="779">
        <f t="shared" si="4"/>
        <v>4298200.796872407</v>
      </c>
      <c r="N37" s="781">
        <f>M36*'Exploitatie MFC'!$B$9</f>
        <v>204796.6262039206</v>
      </c>
      <c r="O37" s="779">
        <f t="shared" si="1"/>
        <v>-457631.96719641564</v>
      </c>
      <c r="P37" s="787">
        <f t="shared" si="2"/>
        <v>188350.2490449458</v>
      </c>
    </row>
    <row r="38" spans="1:16" ht="12.75">
      <c r="A38" s="759">
        <v>24</v>
      </c>
      <c r="B38" s="760">
        <v>2032</v>
      </c>
      <c r="C38" s="760"/>
      <c r="D38" s="800">
        <f>D37*(1+'Exploitatie MFC'!$B$11)</f>
        <v>1102423.955860424</v>
      </c>
      <c r="E38" s="761">
        <f>E37*(1+'Exploitatie MFC'!$B$10)</f>
        <v>25480.380400320457</v>
      </c>
      <c r="F38" s="761">
        <f>F37*(1+'Exploitatie MFC'!$B$10)</f>
        <v>22316.720300564775</v>
      </c>
      <c r="G38" s="761">
        <f>G37*(1+'Exploitatie MFC'!$B$10)</f>
        <v>386097.53084103594</v>
      </c>
      <c r="H38" s="761">
        <f>H37*(1+'Exploitatie MFC'!$B$10)</f>
        <v>6397.552671107391</v>
      </c>
      <c r="I38" s="761"/>
      <c r="J38" s="773">
        <f t="shared" si="0"/>
        <v>662131.7716473954</v>
      </c>
      <c r="K38" s="780"/>
      <c r="L38" s="781">
        <f t="shared" si="3"/>
        <v>252835.34099249504</v>
      </c>
      <c r="M38" s="779">
        <f t="shared" si="4"/>
        <v>4045365.4558799122</v>
      </c>
      <c r="N38" s="781">
        <f>M37*'Exploitatie MFC'!$B$9</f>
        <v>193419.03585925832</v>
      </c>
      <c r="O38" s="779">
        <f t="shared" si="1"/>
        <v>-446254.37685175333</v>
      </c>
      <c r="P38" s="787">
        <f t="shared" si="2"/>
        <v>215877.39479564212</v>
      </c>
    </row>
    <row r="39" spans="1:16" ht="12.75">
      <c r="A39" s="759">
        <v>25</v>
      </c>
      <c r="B39" s="760">
        <v>2033</v>
      </c>
      <c r="C39" s="760"/>
      <c r="D39" s="800">
        <f>D38*(1+'Exploitatie MFC'!$B$11)</f>
        <v>1129984.5547569345</v>
      </c>
      <c r="E39" s="761">
        <f>E38*(1+'Exploitatie MFC'!$B$10)</f>
        <v>26117.389910328468</v>
      </c>
      <c r="F39" s="761">
        <f>F38*(1+'Exploitatie MFC'!$B$10)</f>
        <v>22874.63830807889</v>
      </c>
      <c r="G39" s="761">
        <f>G38*(1+'Exploitatie MFC'!$B$10)</f>
        <v>395749.9691120618</v>
      </c>
      <c r="H39" s="761">
        <f>H38*(1+'Exploitatie MFC'!$B$10)</f>
        <v>6557.491487885075</v>
      </c>
      <c r="I39" s="761"/>
      <c r="J39" s="773">
        <f t="shared" si="0"/>
        <v>678685.0659385802</v>
      </c>
      <c r="K39" s="780"/>
      <c r="L39" s="781">
        <f t="shared" si="3"/>
        <v>252835.34099249504</v>
      </c>
      <c r="M39" s="779">
        <f t="shared" si="4"/>
        <v>3792530.1148874173</v>
      </c>
      <c r="N39" s="781">
        <f>M38*'Exploitatie MFC'!$B$9</f>
        <v>182041.44551459604</v>
      </c>
      <c r="O39" s="779">
        <f t="shared" si="1"/>
        <v>-434876.7865070911</v>
      </c>
      <c r="P39" s="787">
        <f t="shared" si="2"/>
        <v>243808.27943148912</v>
      </c>
    </row>
    <row r="40" spans="1:16" ht="12.75">
      <c r="A40" s="759">
        <v>26</v>
      </c>
      <c r="B40" s="760">
        <v>2034</v>
      </c>
      <c r="C40" s="760"/>
      <c r="D40" s="800">
        <f>D39*(1+'Exploitatie MFC'!$B$11)</f>
        <v>1158234.1686258577</v>
      </c>
      <c r="E40" s="761">
        <f>E39*(1+'Exploitatie MFC'!$B$10)</f>
        <v>26770.324658086676</v>
      </c>
      <c r="F40" s="761">
        <f>F39*(1+'Exploitatie MFC'!$B$10)</f>
        <v>23446.504265780863</v>
      </c>
      <c r="G40" s="761">
        <f>G39*(1+'Exploitatie MFC'!$B$10)</f>
        <v>405643.7183398633</v>
      </c>
      <c r="H40" s="761">
        <f>H39*(1+'Exploitatie MFC'!$B$10)</f>
        <v>6721.428775082201</v>
      </c>
      <c r="I40" s="761"/>
      <c r="J40" s="773">
        <f t="shared" si="0"/>
        <v>695652.1925870447</v>
      </c>
      <c r="K40" s="780"/>
      <c r="L40" s="781">
        <f t="shared" si="3"/>
        <v>252835.34099249504</v>
      </c>
      <c r="M40" s="779">
        <f t="shared" si="4"/>
        <v>3539694.7738949223</v>
      </c>
      <c r="N40" s="781">
        <f>M39*'Exploitatie MFC'!$B$9</f>
        <v>170663.85516993378</v>
      </c>
      <c r="O40" s="779">
        <f t="shared" si="1"/>
        <v>-423499.1961624288</v>
      </c>
      <c r="P40" s="787">
        <f t="shared" si="2"/>
        <v>272152.99642461585</v>
      </c>
    </row>
    <row r="41" spans="1:16" ht="12.75">
      <c r="A41" s="759">
        <v>27</v>
      </c>
      <c r="B41" s="760">
        <v>2035</v>
      </c>
      <c r="C41" s="760"/>
      <c r="D41" s="800">
        <f>D40*(1+'Exploitatie MFC'!$B$11)</f>
        <v>1187190.022841504</v>
      </c>
      <c r="E41" s="761">
        <f>E40*(1+'Exploitatie MFC'!$B$10)</f>
        <v>27439.58277453884</v>
      </c>
      <c r="F41" s="761">
        <f>F40*(1+'Exploitatie MFC'!$B$10)</f>
        <v>24032.666872425383</v>
      </c>
      <c r="G41" s="761">
        <f>G40*(1+'Exploitatie MFC'!$B$10)</f>
        <v>415784.8112983598</v>
      </c>
      <c r="H41" s="761">
        <f>H40*(1+'Exploitatie MFC'!$B$10)</f>
        <v>6889.464494459256</v>
      </c>
      <c r="I41" s="761"/>
      <c r="J41" s="773">
        <f t="shared" si="0"/>
        <v>713043.4974017207</v>
      </c>
      <c r="K41" s="780"/>
      <c r="L41" s="781">
        <f t="shared" si="3"/>
        <v>252835.34099249504</v>
      </c>
      <c r="M41" s="779">
        <f t="shared" si="4"/>
        <v>3286859.4329024274</v>
      </c>
      <c r="N41" s="781">
        <f>M40*'Exploitatie MFC'!$B$9</f>
        <v>159286.2648252715</v>
      </c>
      <c r="O41" s="779">
        <f t="shared" si="1"/>
        <v>-412121.6058177665</v>
      </c>
      <c r="P41" s="787">
        <f t="shared" si="2"/>
        <v>300921.8915839542</v>
      </c>
    </row>
    <row r="42" spans="1:16" ht="12.75">
      <c r="A42" s="759">
        <v>28</v>
      </c>
      <c r="B42" s="760">
        <v>2036</v>
      </c>
      <c r="C42" s="760"/>
      <c r="D42" s="800">
        <f>D41*(1+'Exploitatie MFC'!$B$11)</f>
        <v>1216869.7734125415</v>
      </c>
      <c r="E42" s="761">
        <f>E41*(1+'Exploitatie MFC'!$B$10)</f>
        <v>28125.57234390231</v>
      </c>
      <c r="F42" s="761">
        <f>F41*(1+'Exploitatie MFC'!$B$10)</f>
        <v>24633.483544236016</v>
      </c>
      <c r="G42" s="761">
        <f>G41*(1+'Exploitatie MFC'!$B$10)</f>
        <v>426179.4315808188</v>
      </c>
      <c r="H42" s="761">
        <f>H41*(1+'Exploitatie MFC'!$B$10)</f>
        <v>7061.701106820737</v>
      </c>
      <c r="I42" s="761"/>
      <c r="J42" s="773">
        <f t="shared" si="0"/>
        <v>730869.5848367638</v>
      </c>
      <c r="K42" s="780"/>
      <c r="L42" s="781">
        <f t="shared" si="3"/>
        <v>252835.34099249504</v>
      </c>
      <c r="M42" s="779">
        <f t="shared" si="4"/>
        <v>3034024.0919099324</v>
      </c>
      <c r="N42" s="781">
        <f>M41*'Exploitatie MFC'!$B$9</f>
        <v>147908.67448060922</v>
      </c>
      <c r="O42" s="779">
        <f t="shared" si="1"/>
        <v>-400744.01547310426</v>
      </c>
      <c r="P42" s="787">
        <f t="shared" si="2"/>
        <v>330125.56936365954</v>
      </c>
    </row>
    <row r="43" spans="1:16" ht="12.75">
      <c r="A43" s="759">
        <v>29</v>
      </c>
      <c r="B43" s="760">
        <v>2037</v>
      </c>
      <c r="C43" s="760"/>
      <c r="D43" s="800">
        <f>D42*(1+'Exploitatie MFC'!$B$11)</f>
        <v>1247291.5177478548</v>
      </c>
      <c r="E43" s="761">
        <f>E42*(1+'Exploitatie MFC'!$B$10)</f>
        <v>28828.711652499864</v>
      </c>
      <c r="F43" s="761">
        <f>F42*(1+'Exploitatie MFC'!$B$10)</f>
        <v>25249.320632841915</v>
      </c>
      <c r="G43" s="761">
        <f>G42*(1+'Exploitatie MFC'!$B$10)</f>
        <v>436833.9173703392</v>
      </c>
      <c r="H43" s="761">
        <f>H42*(1+'Exploitatie MFC'!$B$10)</f>
        <v>7238.243634491255</v>
      </c>
      <c r="I43" s="761"/>
      <c r="J43" s="773">
        <f t="shared" si="0"/>
        <v>749141.3244576827</v>
      </c>
      <c r="K43" s="780"/>
      <c r="L43" s="781">
        <f t="shared" si="3"/>
        <v>252835.34099249504</v>
      </c>
      <c r="M43" s="779">
        <f t="shared" si="4"/>
        <v>2781188.7509174375</v>
      </c>
      <c r="N43" s="781">
        <f>M42*'Exploitatie MFC'!$B$9</f>
        <v>136531.08413594696</v>
      </c>
      <c r="O43" s="779">
        <f t="shared" si="1"/>
        <v>-389366.425128442</v>
      </c>
      <c r="P43" s="787">
        <f t="shared" si="2"/>
        <v>359774.89932924067</v>
      </c>
    </row>
    <row r="44" spans="1:16" ht="12.75">
      <c r="A44" s="759">
        <v>30</v>
      </c>
      <c r="B44" s="760">
        <v>2038</v>
      </c>
      <c r="C44" s="760"/>
      <c r="D44" s="800">
        <f>D43*(1+'Exploitatie MFC'!$B$11)</f>
        <v>1278473.8056915512</v>
      </c>
      <c r="E44" s="761">
        <f>E43*(1+'Exploitatie MFC'!$B$10)</f>
        <v>29549.429443812358</v>
      </c>
      <c r="F44" s="761">
        <f>F43*(1+'Exploitatie MFC'!$B$10)</f>
        <v>25880.55364866296</v>
      </c>
      <c r="G44" s="761">
        <f>G43*(1+'Exploitatie MFC'!$B$10)</f>
        <v>447754.7653045977</v>
      </c>
      <c r="H44" s="761">
        <f>H43*(1+'Exploitatie MFC'!$B$10)</f>
        <v>7419.1997253535355</v>
      </c>
      <c r="I44" s="761"/>
      <c r="J44" s="773">
        <f t="shared" si="0"/>
        <v>767869.8575691245</v>
      </c>
      <c r="K44" s="780"/>
      <c r="L44" s="781">
        <f t="shared" si="3"/>
        <v>252835.34099249504</v>
      </c>
      <c r="M44" s="779">
        <f t="shared" si="4"/>
        <v>2528353.4099249425</v>
      </c>
      <c r="N44" s="781">
        <f>M43*'Exploitatie MFC'!$B$9</f>
        <v>125153.49379128468</v>
      </c>
      <c r="O44" s="779">
        <f t="shared" si="1"/>
        <v>-377988.8347837797</v>
      </c>
      <c r="P44" s="787">
        <f t="shared" si="2"/>
        <v>389881.02278534486</v>
      </c>
    </row>
    <row r="45" spans="1:16" ht="12.75">
      <c r="A45" s="759">
        <v>31</v>
      </c>
      <c r="B45" s="760">
        <v>2039</v>
      </c>
      <c r="C45" s="760"/>
      <c r="D45" s="800">
        <f>D44*(1+'Exploitatie MFC'!$B$11)</f>
        <v>1310435.6508338398</v>
      </c>
      <c r="E45" s="761">
        <f>E44*(1+'Exploitatie MFC'!$B$10)</f>
        <v>30288.165179907664</v>
      </c>
      <c r="F45" s="761">
        <f>F44*(1+'Exploitatie MFC'!$B$10)</f>
        <v>26527.567489879533</v>
      </c>
      <c r="G45" s="761">
        <f>G44*(1+'Exploitatie MFC'!$B$10)</f>
        <v>458948.6344372126</v>
      </c>
      <c r="H45" s="761">
        <f>H44*(1+'Exploitatie MFC'!$B$10)</f>
        <v>7604.679718487373</v>
      </c>
      <c r="I45" s="761"/>
      <c r="J45" s="773">
        <f t="shared" si="0"/>
        <v>787066.6040083527</v>
      </c>
      <c r="K45" s="780"/>
      <c r="L45" s="781">
        <f t="shared" si="3"/>
        <v>252835.34099249504</v>
      </c>
      <c r="M45" s="779">
        <f t="shared" si="4"/>
        <v>2275518.0689324476</v>
      </c>
      <c r="N45" s="781">
        <f>M44*'Exploitatie MFC'!$B$9</f>
        <v>113775.90344662241</v>
      </c>
      <c r="O45" s="779">
        <f t="shared" si="1"/>
        <v>-366611.24443911744</v>
      </c>
      <c r="P45" s="787">
        <f t="shared" si="2"/>
        <v>420455.3595692353</v>
      </c>
    </row>
    <row r="46" spans="1:16" ht="12.75">
      <c r="A46" s="759">
        <v>32</v>
      </c>
      <c r="B46" s="760">
        <v>2040</v>
      </c>
      <c r="C46" s="760"/>
      <c r="D46" s="800">
        <f>D45*(1+'Exploitatie MFC'!$B$11)</f>
        <v>1343196.5421046857</v>
      </c>
      <c r="E46" s="761">
        <f>E45*(1+'Exploitatie MFC'!$B$10)</f>
        <v>31045.369309405352</v>
      </c>
      <c r="F46" s="761">
        <f>F45*(1+'Exploitatie MFC'!$B$10)</f>
        <v>27190.75667712652</v>
      </c>
      <c r="G46" s="761">
        <f>G45*(1+'Exploitatie MFC'!$B$10)</f>
        <v>470422.3502981429</v>
      </c>
      <c r="H46" s="761">
        <f>H45*(1+'Exploitatie MFC'!$B$10)</f>
        <v>7794.796711449557</v>
      </c>
      <c r="I46" s="761"/>
      <c r="J46" s="773">
        <f t="shared" si="0"/>
        <v>806743.2691085614</v>
      </c>
      <c r="K46" s="780"/>
      <c r="L46" s="781">
        <f t="shared" si="3"/>
        <v>252835.34099249504</v>
      </c>
      <c r="M46" s="779">
        <f t="shared" si="4"/>
        <v>2022682.7279399526</v>
      </c>
      <c r="N46" s="781">
        <f>M45*'Exploitatie MFC'!$B$9</f>
        <v>102398.31310196014</v>
      </c>
      <c r="O46" s="779">
        <f t="shared" si="1"/>
        <v>-355233.6540944552</v>
      </c>
      <c r="P46" s="787">
        <f t="shared" si="2"/>
        <v>451509.61501410627</v>
      </c>
    </row>
    <row r="47" spans="1:16" ht="12.75">
      <c r="A47" s="759">
        <v>33</v>
      </c>
      <c r="B47" s="760">
        <v>2041</v>
      </c>
      <c r="C47" s="760"/>
      <c r="D47" s="800">
        <f>D46*(1+'Exploitatie MFC'!$B$11)</f>
        <v>1376776.4556573026</v>
      </c>
      <c r="E47" s="761">
        <f>E46*(1+'Exploitatie MFC'!$B$10)</f>
        <v>31821.503542140483</v>
      </c>
      <c r="F47" s="761">
        <f>F46*(1+'Exploitatie MFC'!$B$10)</f>
        <v>27870.52559405468</v>
      </c>
      <c r="G47" s="761">
        <f>G46*(1+'Exploitatie MFC'!$B$10)</f>
        <v>482182.9090555964</v>
      </c>
      <c r="H47" s="761">
        <f>H46*(1+'Exploitatie MFC'!$B$10)</f>
        <v>7989.666629235795</v>
      </c>
      <c r="I47" s="761"/>
      <c r="J47" s="773">
        <f t="shared" si="0"/>
        <v>826911.850836275</v>
      </c>
      <c r="K47" s="780"/>
      <c r="L47" s="781">
        <f t="shared" si="3"/>
        <v>252835.34099249504</v>
      </c>
      <c r="M47" s="779">
        <f t="shared" si="4"/>
        <v>1769847.3869474577</v>
      </c>
      <c r="N47" s="781">
        <f>M46*'Exploitatie MFC'!$B$9</f>
        <v>91020.72275729786</v>
      </c>
      <c r="O47" s="779">
        <f t="shared" si="1"/>
        <v>-343856.06374979287</v>
      </c>
      <c r="P47" s="787">
        <f t="shared" si="2"/>
        <v>483055.78708648216</v>
      </c>
    </row>
    <row r="48" spans="1:16" ht="12.75">
      <c r="A48" s="759">
        <v>34</v>
      </c>
      <c r="B48" s="760">
        <v>2042</v>
      </c>
      <c r="C48" s="760"/>
      <c r="D48" s="800">
        <f>D47*(1+'Exploitatie MFC'!$B$11)</f>
        <v>1411195.867048735</v>
      </c>
      <c r="E48" s="761">
        <f>E47*(1+'Exploitatie MFC'!$B$10)</f>
        <v>32617.041130693993</v>
      </c>
      <c r="F48" s="761">
        <f>F47*(1+'Exploitatie MFC'!$B$10)</f>
        <v>28567.288733906047</v>
      </c>
      <c r="G48" s="761">
        <f>G47*(1+'Exploitatie MFC'!$B$10)</f>
        <v>494237.48178198625</v>
      </c>
      <c r="H48" s="761">
        <f>H47*(1+'Exploitatie MFC'!$B$10)</f>
        <v>8189.408294966689</v>
      </c>
      <c r="I48" s="761"/>
      <c r="J48" s="773">
        <f t="shared" si="0"/>
        <v>847584.6471071818</v>
      </c>
      <c r="K48" s="780"/>
      <c r="L48" s="781">
        <f t="shared" si="3"/>
        <v>252835.34099249504</v>
      </c>
      <c r="M48" s="779">
        <f t="shared" si="4"/>
        <v>1517012.0459549627</v>
      </c>
      <c r="N48" s="781">
        <f>M47*'Exploitatie MFC'!$B$9</f>
        <v>79643.13241263559</v>
      </c>
      <c r="O48" s="779">
        <f t="shared" si="1"/>
        <v>-332478.4734051306</v>
      </c>
      <c r="P48" s="787">
        <f t="shared" si="2"/>
        <v>515106.1737020512</v>
      </c>
    </row>
    <row r="49" spans="1:16" ht="12.75">
      <c r="A49" s="759">
        <v>35</v>
      </c>
      <c r="B49" s="760">
        <v>2043</v>
      </c>
      <c r="C49" s="760"/>
      <c r="D49" s="800">
        <f>D48*(1+'Exploitatie MFC'!$B$11)</f>
        <v>1446475.7637249532</v>
      </c>
      <c r="E49" s="761">
        <f>E48*(1+'Exploitatie MFC'!$B$10)</f>
        <v>33432.46715896134</v>
      </c>
      <c r="F49" s="761">
        <f>F48*(1+'Exploitatie MFC'!$B$10)</f>
        <v>29281.470952253694</v>
      </c>
      <c r="G49" s="761">
        <f>G48*(1+'Exploitatie MFC'!$B$10)</f>
        <v>506593.41882653587</v>
      </c>
      <c r="H49" s="761">
        <f>H48*(1+'Exploitatie MFC'!$B$10)</f>
        <v>8394.143502340856</v>
      </c>
      <c r="I49" s="761"/>
      <c r="J49" s="773">
        <f t="shared" si="0"/>
        <v>868774.2632848613</v>
      </c>
      <c r="K49" s="780"/>
      <c r="L49" s="781">
        <f t="shared" si="3"/>
        <v>252835.34099249504</v>
      </c>
      <c r="M49" s="779">
        <f t="shared" si="4"/>
        <v>1264176.7049624678</v>
      </c>
      <c r="N49" s="781">
        <f>M48*'Exploitatie MFC'!$B$9</f>
        <v>68265.54206797332</v>
      </c>
      <c r="O49" s="779">
        <f t="shared" si="1"/>
        <v>-321100.88306046836</v>
      </c>
      <c r="P49" s="787">
        <f t="shared" si="2"/>
        <v>547673.380224393</v>
      </c>
    </row>
    <row r="50" spans="1:16" ht="12.75">
      <c r="A50" s="759">
        <v>36</v>
      </c>
      <c r="B50" s="760">
        <v>2044</v>
      </c>
      <c r="C50" s="760"/>
      <c r="D50" s="800">
        <f>D49*(1+'Exploitatie MFC'!$B$11)</f>
        <v>1482637.657818077</v>
      </c>
      <c r="E50" s="761">
        <f>E49*(1+'Exploitatie MFC'!$B$10)</f>
        <v>34268.27883793537</v>
      </c>
      <c r="F50" s="761">
        <f>F49*(1+'Exploitatie MFC'!$B$10)</f>
        <v>30013.507726060034</v>
      </c>
      <c r="G50" s="761">
        <f>G49*(1+'Exploitatie MFC'!$B$10)</f>
        <v>519258.2542971992</v>
      </c>
      <c r="H50" s="761">
        <f>H49*(1+'Exploitatie MFC'!$B$10)</f>
        <v>8603.997089899376</v>
      </c>
      <c r="I50" s="761"/>
      <c r="J50" s="773">
        <f t="shared" si="0"/>
        <v>890493.619866983</v>
      </c>
      <c r="K50" s="780"/>
      <c r="L50" s="781">
        <f t="shared" si="3"/>
        <v>252835.34099249504</v>
      </c>
      <c r="M50" s="779">
        <f t="shared" si="4"/>
        <v>1011341.3639699727</v>
      </c>
      <c r="N50" s="781">
        <f>M49*'Exploitatie MFC'!$B$9</f>
        <v>56887.951723311045</v>
      </c>
      <c r="O50" s="779">
        <f t="shared" si="1"/>
        <v>-309723.2927158061</v>
      </c>
      <c r="P50" s="787">
        <f t="shared" si="2"/>
        <v>580770.327151177</v>
      </c>
    </row>
    <row r="51" spans="1:16" ht="12.75">
      <c r="A51" s="759">
        <v>37</v>
      </c>
      <c r="B51" s="760">
        <v>2045</v>
      </c>
      <c r="C51" s="760"/>
      <c r="D51" s="800">
        <f>D50*(1+'Exploitatie MFC'!$B$11)</f>
        <v>1519703.5992635286</v>
      </c>
      <c r="E51" s="761">
        <f>E50*(1+'Exploitatie MFC'!$B$10)</f>
        <v>35124.98580888376</v>
      </c>
      <c r="F51" s="761">
        <f>F50*(1+'Exploitatie MFC'!$B$10)</f>
        <v>30763.84541921153</v>
      </c>
      <c r="G51" s="761">
        <f>G50*(1+'Exploitatie MFC'!$B$10)</f>
        <v>532239.7106546292</v>
      </c>
      <c r="H51" s="761">
        <f>H50*(1+'Exploitatie MFC'!$B$10)</f>
        <v>8819.09701714686</v>
      </c>
      <c r="I51" s="761"/>
      <c r="J51" s="773">
        <f t="shared" si="0"/>
        <v>912755.9603636572</v>
      </c>
      <c r="K51" s="780"/>
      <c r="L51" s="781">
        <f t="shared" si="3"/>
        <v>252835.34099249504</v>
      </c>
      <c r="M51" s="779">
        <f t="shared" si="4"/>
        <v>758506.0229774776</v>
      </c>
      <c r="N51" s="781">
        <f>M50*'Exploitatie MFC'!$B$9</f>
        <v>45510.36137864877</v>
      </c>
      <c r="O51" s="779">
        <f t="shared" si="1"/>
        <v>-298345.7023711438</v>
      </c>
      <c r="P51" s="787">
        <f t="shared" si="2"/>
        <v>614410.2579925135</v>
      </c>
    </row>
    <row r="52" spans="1:16" ht="12.75">
      <c r="A52" s="759">
        <v>38</v>
      </c>
      <c r="B52" s="760">
        <v>2046</v>
      </c>
      <c r="C52" s="760"/>
      <c r="D52" s="800">
        <f>D51*(1+'Exploitatie MFC'!$B$11)</f>
        <v>1557696.1892451167</v>
      </c>
      <c r="E52" s="761">
        <f>E51*(1+'Exploitatie MFC'!$B$10)</f>
        <v>36003.110454105845</v>
      </c>
      <c r="F52" s="761">
        <f>F51*(1+'Exploitatie MFC'!$B$10)</f>
        <v>31532.941554691817</v>
      </c>
      <c r="G52" s="761">
        <f>G51*(1+'Exploitatie MFC'!$B$10)</f>
        <v>545545.7034209948</v>
      </c>
      <c r="H52" s="761">
        <f>H51*(1+'Exploitatie MFC'!$B$10)</f>
        <v>9039.574442575531</v>
      </c>
      <c r="I52" s="761"/>
      <c r="J52" s="773">
        <f t="shared" si="0"/>
        <v>935574.8593727486</v>
      </c>
      <c r="K52" s="780"/>
      <c r="L52" s="781">
        <f t="shared" si="3"/>
        <v>252835.34099249504</v>
      </c>
      <c r="M52" s="779">
        <f t="shared" si="4"/>
        <v>505670.68198498257</v>
      </c>
      <c r="N52" s="781">
        <f>M51*'Exploitatie MFC'!$B$9</f>
        <v>34132.77103398649</v>
      </c>
      <c r="O52" s="779">
        <f t="shared" si="1"/>
        <v>-286968.11202648154</v>
      </c>
      <c r="P52" s="787">
        <f t="shared" si="2"/>
        <v>648606.7473462671</v>
      </c>
    </row>
    <row r="53" spans="1:16" ht="12.75">
      <c r="A53" s="759">
        <v>39</v>
      </c>
      <c r="B53" s="760">
        <v>2047</v>
      </c>
      <c r="C53" s="760"/>
      <c r="D53" s="800">
        <f>D52*(1+'Exploitatie MFC'!$B$11)</f>
        <v>1596638.5939762443</v>
      </c>
      <c r="E53" s="761">
        <f>E52*(1+'Exploitatie MFC'!$B$10)</f>
        <v>36903.18821545849</v>
      </c>
      <c r="F53" s="761">
        <f>F52*(1+'Exploitatie MFC'!$B$10)</f>
        <v>32321.26509355911</v>
      </c>
      <c r="G53" s="761">
        <f>G52*(1+'Exploitatie MFC'!$B$10)</f>
        <v>559184.3460065196</v>
      </c>
      <c r="H53" s="761">
        <f>H52*(1+'Exploitatie MFC'!$B$10)</f>
        <v>9265.563803639918</v>
      </c>
      <c r="I53" s="761"/>
      <c r="J53" s="773">
        <f t="shared" si="0"/>
        <v>958964.230857067</v>
      </c>
      <c r="K53" s="780"/>
      <c r="L53" s="781">
        <f t="shared" si="3"/>
        <v>252835.34099249504</v>
      </c>
      <c r="M53" s="779">
        <f t="shared" si="4"/>
        <v>252835.34099248753</v>
      </c>
      <c r="N53" s="781">
        <f>M52*'Exploitatie MFC'!$B$9</f>
        <v>22755.180689324214</v>
      </c>
      <c r="O53" s="779">
        <f t="shared" si="1"/>
        <v>-275590.5216818192</v>
      </c>
      <c r="P53" s="787">
        <f t="shared" si="2"/>
        <v>683373.7091752478</v>
      </c>
    </row>
    <row r="54" spans="1:16" ht="12.75">
      <c r="A54" s="763">
        <v>40</v>
      </c>
      <c r="B54" s="763">
        <v>2048</v>
      </c>
      <c r="C54" s="763"/>
      <c r="D54" s="801">
        <f>D53*(1+'Exploitatie MFC'!$B$11)</f>
        <v>1636554.5588256503</v>
      </c>
      <c r="E54" s="764">
        <f>E53*(1+'Exploitatie MFC'!$B$10)</f>
        <v>37825.76792084495</v>
      </c>
      <c r="F54" s="764">
        <f>F53*(1+'Exploitatie MFC'!$B$10)</f>
        <v>33129.296720898084</v>
      </c>
      <c r="G54" s="764">
        <f>G53*(1+'Exploitatie MFC'!$B$10)</f>
        <v>573163.9546566826</v>
      </c>
      <c r="H54" s="764">
        <f>H53*(1+'Exploitatie MFC'!$B$10)</f>
        <v>9497.202898730915</v>
      </c>
      <c r="I54" s="764">
        <f>'Exploitatie MFC'!I65</f>
        <v>202500</v>
      </c>
      <c r="J54" s="774">
        <f>-C54+D54-E54-F54-G54-H54+I54</f>
        <v>1185438.3366284939</v>
      </c>
      <c r="K54" s="785"/>
      <c r="L54" s="782">
        <f t="shared" si="3"/>
        <v>252835.34099249504</v>
      </c>
      <c r="M54" s="782">
        <f t="shared" si="4"/>
        <v>-7.508788257837296E-09</v>
      </c>
      <c r="N54" s="782">
        <f>M53*'Exploitatie MFC'!$B$9</f>
        <v>11377.590344661938</v>
      </c>
      <c r="O54" s="782">
        <f t="shared" si="1"/>
        <v>-264212.931337157</v>
      </c>
      <c r="P54" s="788">
        <f t="shared" si="2"/>
        <v>921225.4052913368</v>
      </c>
    </row>
    <row r="55" spans="1:16" ht="12.75">
      <c r="A55" s="515"/>
      <c r="B55" s="515"/>
      <c r="C55" s="515"/>
      <c r="D55" s="246"/>
      <c r="E55" s="515"/>
      <c r="F55" s="515"/>
      <c r="G55" s="515"/>
      <c r="H55" s="515"/>
      <c r="I55" s="515"/>
      <c r="J55" s="765"/>
      <c r="O55" s="789" t="s">
        <v>629</v>
      </c>
      <c r="P55" s="871">
        <f>IRR(P14:P54,6%)</f>
        <v>0.04541078975502257</v>
      </c>
    </row>
  </sheetData>
  <sheetProtection/>
  <printOptions/>
  <pageMargins left="0.75" right="0.75" top="0.73" bottom="0.82" header="0.5" footer="0.5"/>
  <pageSetup fitToHeight="1" fitToWidth="1" horizontalDpi="600" verticalDpi="600" orientation="landscape" paperSize="9" scale="69" r:id="rId1"/>
  <headerFooter alignWithMargins="0">
    <oddFooter>&amp;LConceptversie - 20 juni 2007 (Alleen te gebruiken voor interne doeleinden)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E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9.421875" style="0" customWidth="1"/>
    <col min="3" max="3" width="17.00390625" style="0" customWidth="1"/>
    <col min="4" max="4" width="23.421875" style="0" customWidth="1"/>
  </cols>
  <sheetData>
    <row r="1" spans="1:5" ht="21" thickTop="1">
      <c r="A1" s="4" t="s">
        <v>279</v>
      </c>
      <c r="D1" s="622" t="s">
        <v>84</v>
      </c>
      <c r="E1" s="246"/>
    </row>
    <row r="2" spans="4:5" ht="13.5" thickBot="1">
      <c r="D2" s="624" t="s">
        <v>355</v>
      </c>
      <c r="E2" s="246"/>
    </row>
    <row r="3" spans="1:3" ht="13.5" thickTop="1">
      <c r="A3" t="s">
        <v>701</v>
      </c>
      <c r="B3" s="909">
        <v>98.68</v>
      </c>
      <c r="C3" s="201" t="s">
        <v>703</v>
      </c>
    </row>
    <row r="4" spans="2:3" ht="12.75">
      <c r="B4" s="909">
        <v>100.08</v>
      </c>
      <c r="C4" s="201" t="s">
        <v>704</v>
      </c>
    </row>
    <row r="5" spans="1:3" ht="12.75">
      <c r="A5" t="s">
        <v>702</v>
      </c>
      <c r="B5" s="104">
        <f>B4/B3-100%</f>
        <v>0.014187271990271588</v>
      </c>
      <c r="C5" t="s">
        <v>705</v>
      </c>
    </row>
    <row r="6" ht="12.75">
      <c r="B6" s="245"/>
    </row>
    <row r="7" spans="1:2" ht="12.75">
      <c r="A7" s="201" t="s">
        <v>707</v>
      </c>
      <c r="B7" s="245"/>
    </row>
    <row r="9" ht="12.75">
      <c r="A9" s="1" t="s">
        <v>280</v>
      </c>
    </row>
    <row r="10" spans="1:4" ht="12.75">
      <c r="A10" t="s">
        <v>310</v>
      </c>
      <c r="B10" s="93">
        <v>105</v>
      </c>
      <c r="C10" t="s">
        <v>695</v>
      </c>
      <c r="D10" t="s">
        <v>311</v>
      </c>
    </row>
    <row r="11" spans="1:4" ht="12.75">
      <c r="A11" t="s">
        <v>310</v>
      </c>
      <c r="B11" s="93">
        <f>B10*(1+B5)</f>
        <v>106.48966355897852</v>
      </c>
      <c r="C11" t="s">
        <v>695</v>
      </c>
      <c r="D11" t="s">
        <v>312</v>
      </c>
    </row>
    <row r="12" ht="13.5" thickBot="1"/>
    <row r="13" spans="1:4" ht="14.25" thickBot="1" thickTop="1">
      <c r="A13" s="265" t="s">
        <v>282</v>
      </c>
      <c r="B13" s="267" t="s">
        <v>696</v>
      </c>
      <c r="C13" s="267" t="s">
        <v>697</v>
      </c>
      <c r="D13" s="268" t="s">
        <v>283</v>
      </c>
    </row>
    <row r="14" spans="1:4" ht="13.5" thickTop="1">
      <c r="A14" s="13" t="s">
        <v>278</v>
      </c>
      <c r="B14" s="222">
        <f>Oppervlaktes!B11</f>
        <v>815.8878504672897</v>
      </c>
      <c r="C14" s="225">
        <f>B11</f>
        <v>106.48966355897852</v>
      </c>
      <c r="D14" s="77">
        <f>B14*C14</f>
        <v>86883.62269811986</v>
      </c>
    </row>
    <row r="15" spans="1:4" ht="12.75">
      <c r="A15" s="18" t="s">
        <v>309</v>
      </c>
      <c r="B15" s="223">
        <f>Oppervlaktes!B15</f>
        <v>532.7102803738318</v>
      </c>
      <c r="C15" s="226">
        <f>B11</f>
        <v>106.48966355897852</v>
      </c>
      <c r="D15" s="57">
        <f>B15*C15</f>
        <v>56728.138531418466</v>
      </c>
    </row>
    <row r="16" spans="1:4" ht="12.75">
      <c r="A16" s="18" t="s">
        <v>72</v>
      </c>
      <c r="B16" s="223">
        <f>Oppervlaktes!B14</f>
        <v>174.7663551401869</v>
      </c>
      <c r="C16" s="226">
        <f>B11</f>
        <v>106.48966355897852</v>
      </c>
      <c r="D16" s="57">
        <f>B16*C16</f>
        <v>18610.81036030746</v>
      </c>
    </row>
    <row r="17" spans="1:4" ht="12.75">
      <c r="A17" s="18" t="s">
        <v>694</v>
      </c>
      <c r="B17" s="224">
        <f>Oppervlaktes!B13</f>
        <v>65.42056074766354</v>
      </c>
      <c r="C17" s="226">
        <f>B11</f>
        <v>106.48966355897852</v>
      </c>
      <c r="D17" s="57">
        <f>B17*C17</f>
        <v>6966.613503858407</v>
      </c>
    </row>
    <row r="18" spans="1:4" ht="13.5" thickBot="1">
      <c r="A18" s="14" t="s">
        <v>275</v>
      </c>
      <c r="B18" s="243">
        <f>Oppervlaktes!B16</f>
        <v>71.96261682242991</v>
      </c>
      <c r="C18" s="226">
        <f>B11</f>
        <v>106.48966355897852</v>
      </c>
      <c r="D18" s="57">
        <f>B18*C18</f>
        <v>7663.274854244249</v>
      </c>
    </row>
    <row r="19" spans="1:4" ht="14.25" thickBot="1" thickTop="1">
      <c r="A19" s="28" t="s">
        <v>284</v>
      </c>
      <c r="B19" s="248"/>
      <c r="C19" s="248"/>
      <c r="D19" s="38">
        <f>SUM(D14:D18)</f>
        <v>176852.45994794846</v>
      </c>
    </row>
    <row r="20" ht="13.5" thickTop="1"/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&amp;LConceptversie - 20 juni 2007 (Alleen te gebruiken voor interne doeleinden)&amp;RTabblad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L31"/>
  <sheetViews>
    <sheetView zoomScalePageLayoutView="0" workbookViewId="0" topLeftCell="D1">
      <selection activeCell="J16" sqref="J16"/>
    </sheetView>
  </sheetViews>
  <sheetFormatPr defaultColWidth="9.140625" defaultRowHeight="12.75"/>
  <cols>
    <col min="1" max="1" width="26.8515625" style="0" customWidth="1"/>
    <col min="2" max="2" width="19.421875" style="0" hidden="1" customWidth="1"/>
    <col min="3" max="11" width="10.7109375" style="0" customWidth="1"/>
    <col min="12" max="12" width="19.8515625" style="0" customWidth="1"/>
  </cols>
  <sheetData>
    <row r="1" spans="1:12" ht="21" thickTop="1">
      <c r="A1" s="4" t="s">
        <v>277</v>
      </c>
      <c r="B1" s="4"/>
      <c r="C1" s="4"/>
      <c r="D1" s="4"/>
      <c r="E1" s="4"/>
      <c r="L1" s="928" t="s">
        <v>359</v>
      </c>
    </row>
    <row r="2" ht="13.5" thickBot="1">
      <c r="L2" s="929" t="s">
        <v>296</v>
      </c>
    </row>
    <row r="3" spans="1:11" ht="14.25" thickBot="1" thickTop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20" thickBot="1" thickTop="1">
      <c r="A4" s="907" t="s">
        <v>135</v>
      </c>
      <c r="B4" s="902"/>
      <c r="C4" s="903" t="s">
        <v>233</v>
      </c>
      <c r="D4" s="904" t="s">
        <v>234</v>
      </c>
      <c r="E4" s="905" t="s">
        <v>235</v>
      </c>
      <c r="F4" s="902" t="s">
        <v>278</v>
      </c>
      <c r="G4" s="902" t="s">
        <v>72</v>
      </c>
      <c r="H4" s="908" t="s">
        <v>694</v>
      </c>
      <c r="I4" s="902" t="s">
        <v>275</v>
      </c>
      <c r="J4" s="902" t="s">
        <v>300</v>
      </c>
      <c r="K4" s="904" t="s">
        <v>644</v>
      </c>
      <c r="L4" s="906" t="s">
        <v>303</v>
      </c>
    </row>
    <row r="5" spans="1:12" ht="13.5" thickTop="1">
      <c r="A5" s="351" t="s">
        <v>244</v>
      </c>
      <c r="B5" s="354" t="s">
        <v>294</v>
      </c>
      <c r="C5" s="485">
        <f>1!C104</f>
        <v>2950.2996720125966</v>
      </c>
      <c r="D5" s="485">
        <f>1!C105</f>
        <v>5979.820851205029</v>
      </c>
      <c r="E5" s="811">
        <f>1!C106</f>
        <v>2488.651463028017</v>
      </c>
      <c r="F5" s="219">
        <f>1!C107</f>
        <v>3143.653443999863</v>
      </c>
      <c r="G5" s="219">
        <f>1!C109</f>
        <v>673.3828110286076</v>
      </c>
      <c r="H5" s="219">
        <f>1!C108</f>
        <v>252.0684319358424</v>
      </c>
      <c r="I5" s="219">
        <f>1!C111</f>
        <v>277.2752751294267</v>
      </c>
      <c r="J5" s="219">
        <f>1!C110</f>
        <v>2052.557231477574</v>
      </c>
      <c r="K5" s="219">
        <f>1!C112+1!C113</f>
        <v>280965.9255450278</v>
      </c>
      <c r="L5" s="77">
        <f>SUM(C5:K5)</f>
        <v>298783.6347248448</v>
      </c>
    </row>
    <row r="6" spans="1:12" ht="12.75">
      <c r="A6" s="352" t="s">
        <v>246</v>
      </c>
      <c r="B6" s="355" t="s">
        <v>295</v>
      </c>
      <c r="C6" s="450">
        <f>2!C31</f>
        <v>8561.275880268351</v>
      </c>
      <c r="D6" s="450">
        <f>2!C32</f>
        <v>17352.439315706502</v>
      </c>
      <c r="E6" s="450">
        <f>2!C33</f>
        <v>7221.650040140513</v>
      </c>
      <c r="F6" s="83">
        <f>2!J9</f>
        <v>11250.691940941015</v>
      </c>
      <c r="G6" s="83">
        <f>2!J11</f>
        <v>2093.6149280736613</v>
      </c>
      <c r="H6" s="83">
        <f>2!J10</f>
        <v>783.7061228083222</v>
      </c>
      <c r="I6" s="83">
        <f>2!J12</f>
        <v>862.0767350891547</v>
      </c>
      <c r="J6" s="83">
        <f>2!J13</f>
        <v>8411.233168234925</v>
      </c>
      <c r="K6" s="83">
        <f>2!C39</f>
        <v>19161.606760180268</v>
      </c>
      <c r="L6" s="57">
        <f>SUM(C6:K6)</f>
        <v>75698.29489144273</v>
      </c>
    </row>
    <row r="7" spans="1:12" ht="12.75">
      <c r="A7" s="352" t="s">
        <v>257</v>
      </c>
      <c r="B7" s="355" t="s">
        <v>297</v>
      </c>
      <c r="C7" s="450">
        <f>3!E27</f>
        <v>3595.876764747658</v>
      </c>
      <c r="D7" s="450">
        <f>3!E28</f>
        <v>7399.460441189765</v>
      </c>
      <c r="E7" s="450">
        <f>3!E29</f>
        <v>3026.162923594533</v>
      </c>
      <c r="F7" s="450">
        <f>3!E31</f>
        <v>3835.2690933410827</v>
      </c>
      <c r="G7" s="83">
        <f>3!E33</f>
        <v>811.3235840634455</v>
      </c>
      <c r="H7" s="83">
        <f>3!E32</f>
        <v>303.0524268960085</v>
      </c>
      <c r="I7" s="83">
        <f>3!E34</f>
        <v>358.77757811311443</v>
      </c>
      <c r="J7" s="83">
        <f>3!E35</f>
        <v>2096.8892471735185</v>
      </c>
      <c r="K7" s="83">
        <f>3!E36</f>
        <v>4494.298608032004</v>
      </c>
      <c r="L7" s="57">
        <f>SUM(C7:K7)</f>
        <v>25921.110667151126</v>
      </c>
    </row>
    <row r="8" spans="1:12" ht="12.75">
      <c r="A8" s="352" t="s">
        <v>256</v>
      </c>
      <c r="B8" s="355" t="s">
        <v>298</v>
      </c>
      <c r="C8" s="450"/>
      <c r="D8" s="450"/>
      <c r="E8" s="450"/>
      <c r="F8" s="83"/>
      <c r="G8" s="83"/>
      <c r="H8" s="83"/>
      <c r="I8" s="83"/>
      <c r="J8" s="83"/>
      <c r="K8" s="83"/>
      <c r="L8" s="27"/>
    </row>
    <row r="9" spans="1:12" ht="12.75">
      <c r="A9" s="352" t="s">
        <v>240</v>
      </c>
      <c r="B9" s="355" t="s">
        <v>298</v>
      </c>
      <c r="C9" s="450"/>
      <c r="D9" s="450"/>
      <c r="E9" s="450"/>
      <c r="F9" s="83"/>
      <c r="G9" s="83"/>
      <c r="H9" s="83"/>
      <c r="I9" s="83"/>
      <c r="J9" s="83"/>
      <c r="K9" s="83"/>
      <c r="L9" s="27"/>
    </row>
    <row r="10" spans="1:12" ht="12.75">
      <c r="A10" s="352" t="s">
        <v>241</v>
      </c>
      <c r="B10" s="355" t="s">
        <v>295</v>
      </c>
      <c r="C10" s="450">
        <f>6!C34</f>
        <v>16516.493743322095</v>
      </c>
      <c r="D10" s="450">
        <f>6!C35</f>
        <v>33476.4887147007</v>
      </c>
      <c r="E10" s="450">
        <f>6!C36</f>
        <v>13932.075005239038</v>
      </c>
      <c r="F10" s="83">
        <f>6!J10</f>
        <v>3401.1007909848076</v>
      </c>
      <c r="G10" s="83">
        <f>6!J12</f>
        <v>728.5290354114078</v>
      </c>
      <c r="H10" s="83">
        <f>6!J11</f>
        <v>272.71140362993873</v>
      </c>
      <c r="I10" s="83">
        <f>6!J13</f>
        <v>1739.234880441531</v>
      </c>
      <c r="J10" s="83">
        <f>6!J14</f>
        <v>12874.85560846328</v>
      </c>
      <c r="K10" s="83">
        <f>6!C42</f>
        <v>33419.49555478986</v>
      </c>
      <c r="L10" s="57">
        <f aca="true" t="shared" si="0" ref="L10:L16">SUM(C10:K10)</f>
        <v>116360.98473698266</v>
      </c>
    </row>
    <row r="11" spans="1:12" ht="12.75">
      <c r="A11" s="352" t="s">
        <v>242</v>
      </c>
      <c r="B11" s="355" t="s">
        <v>295</v>
      </c>
      <c r="C11" s="450">
        <f>7!C12</f>
        <v>1028.6646250516812</v>
      </c>
      <c r="D11" s="450">
        <f>7!C13</f>
        <v>2084.9509736700347</v>
      </c>
      <c r="E11" s="450">
        <f>7!C14</f>
        <v>867.7043042050351</v>
      </c>
      <c r="F11" s="83">
        <f>7!C15</f>
        <v>1096.0802124411243</v>
      </c>
      <c r="G11" s="83">
        <f>7!C17</f>
        <v>234.78465031671274</v>
      </c>
      <c r="H11" s="83">
        <f>7!C16</f>
        <v>87.887302257593</v>
      </c>
      <c r="I11" s="83">
        <f>7!C19</f>
        <v>96.67603248335232</v>
      </c>
      <c r="J11" s="83">
        <f>7!C18</f>
        <v>715.653746954686</v>
      </c>
      <c r="K11" s="83">
        <f>7!C20</f>
        <v>1517.914152619783</v>
      </c>
      <c r="L11" s="57">
        <f t="shared" si="0"/>
        <v>7730.316000000002</v>
      </c>
    </row>
    <row r="12" spans="1:12" ht="12.75">
      <c r="A12" s="352" t="s">
        <v>247</v>
      </c>
      <c r="B12" s="355" t="s">
        <v>295</v>
      </c>
      <c r="C12" s="450">
        <f>8!D39</f>
        <v>1010.6220170373535</v>
      </c>
      <c r="D12" s="450">
        <f>8!D15</f>
        <v>1885.2600866598132</v>
      </c>
      <c r="E12" s="450">
        <f>8!D16</f>
        <v>784.5979653234606</v>
      </c>
      <c r="F12" s="83">
        <f>8!D42</f>
        <v>1325.754490823453</v>
      </c>
      <c r="G12" s="83">
        <f>8!D44</f>
        <v>18.36894591521845</v>
      </c>
      <c r="H12" s="83">
        <f>8!D43</f>
        <v>6.876076011044339</v>
      </c>
      <c r="I12" s="83">
        <f>8!D46</f>
        <v>7.563683612148774</v>
      </c>
      <c r="J12" s="83">
        <f>8!D45</f>
        <v>55.99090466136105</v>
      </c>
      <c r="K12" s="83">
        <f>8!D47</f>
        <v>118.7576910833198</v>
      </c>
      <c r="L12" s="57">
        <f t="shared" si="0"/>
        <v>5213.7918611271725</v>
      </c>
    </row>
    <row r="13" spans="1:12" ht="12.75">
      <c r="A13" s="352" t="s">
        <v>243</v>
      </c>
      <c r="B13" s="355" t="s">
        <v>295</v>
      </c>
      <c r="C13" s="450">
        <f>9!C28</f>
        <v>876.9362081955126</v>
      </c>
      <c r="D13" s="450">
        <f>8!D40</f>
        <v>2048.381277161681</v>
      </c>
      <c r="E13" s="450">
        <f>8!D41</f>
        <v>852.4849136944205</v>
      </c>
      <c r="F13" s="83">
        <f>9!C31</f>
        <v>934.407971235484</v>
      </c>
      <c r="G13" s="83">
        <f>9!C33</f>
        <v>200.1538265991243</v>
      </c>
      <c r="H13" s="83">
        <f>9!C32</f>
        <v>74.92389230983262</v>
      </c>
      <c r="I13" s="83">
        <f>9!C35</f>
        <v>82.41628154081589</v>
      </c>
      <c r="J13" s="83">
        <f>9!C34</f>
        <v>610.0945516657799</v>
      </c>
      <c r="K13" s="83">
        <f>9!C36</f>
        <v>1294.0212474963064</v>
      </c>
      <c r="L13" s="57">
        <f t="shared" si="0"/>
        <v>6973.820169898958</v>
      </c>
    </row>
    <row r="14" spans="1:12" ht="12.75">
      <c r="A14" s="352" t="s">
        <v>305</v>
      </c>
      <c r="B14" s="355" t="s">
        <v>295</v>
      </c>
      <c r="C14" s="450">
        <f>'10'!C27</f>
        <v>1428.8425032198659</v>
      </c>
      <c r="D14" s="450">
        <f>'10'!C28</f>
        <v>2896.0523145818465</v>
      </c>
      <c r="E14" s="450">
        <f>'10'!C29</f>
        <v>1205.2643396896094</v>
      </c>
      <c r="F14" s="83">
        <f>'10'!C30</f>
        <v>1522.4845458211946</v>
      </c>
      <c r="G14" s="83">
        <f>'10'!C32</f>
        <v>326.12211920797637</v>
      </c>
      <c r="H14" s="83">
        <f>'10'!C31</f>
        <v>122.07779863400184</v>
      </c>
      <c r="I14" s="83">
        <f>'10'!C34</f>
        <v>134.28557849740204</v>
      </c>
      <c r="J14" s="83">
        <f>'10'!C33</f>
        <v>994.062074591158</v>
      </c>
      <c r="K14" s="83">
        <f>'10'!C35</f>
        <v>2108.4230998933654</v>
      </c>
      <c r="L14" s="57">
        <f t="shared" si="0"/>
        <v>10737.61437413642</v>
      </c>
    </row>
    <row r="15" spans="1:12" ht="13.5" thickBot="1">
      <c r="A15" s="352" t="s">
        <v>276</v>
      </c>
      <c r="B15" s="355" t="s">
        <v>299</v>
      </c>
      <c r="C15" s="450"/>
      <c r="D15" s="450"/>
      <c r="E15" s="450"/>
      <c r="F15" s="83"/>
      <c r="G15" s="83"/>
      <c r="H15" s="83"/>
      <c r="I15" s="83"/>
      <c r="J15" s="83"/>
      <c r="K15" s="83">
        <f>'11'!B8</f>
        <v>20346.4637728229</v>
      </c>
      <c r="L15" s="57">
        <f t="shared" si="0"/>
        <v>20346.4637728229</v>
      </c>
    </row>
    <row r="16" spans="1:12" ht="14.25" thickBot="1" thickTop="1">
      <c r="A16" s="353" t="s">
        <v>302</v>
      </c>
      <c r="B16" s="40"/>
      <c r="C16" s="283">
        <f aca="true" t="shared" si="1" ref="C16:K16">SUM(C5:C15)</f>
        <v>35969.011413855114</v>
      </c>
      <c r="D16" s="283">
        <f t="shared" si="1"/>
        <v>73122.85397487537</v>
      </c>
      <c r="E16" s="283">
        <f t="shared" si="1"/>
        <v>30378.590954914627</v>
      </c>
      <c r="F16" s="220">
        <f t="shared" si="1"/>
        <v>26509.442489588022</v>
      </c>
      <c r="G16" s="220">
        <f t="shared" si="1"/>
        <v>5086.279900616154</v>
      </c>
      <c r="H16" s="220">
        <f t="shared" si="1"/>
        <v>1903.3034544825834</v>
      </c>
      <c r="I16" s="220">
        <f t="shared" si="1"/>
        <v>3558.3060449069458</v>
      </c>
      <c r="J16" s="220">
        <f t="shared" si="1"/>
        <v>27811.336533222286</v>
      </c>
      <c r="K16" s="220">
        <f t="shared" si="1"/>
        <v>363426.9064319456</v>
      </c>
      <c r="L16" s="831">
        <f t="shared" si="0"/>
        <v>567766.0311984067</v>
      </c>
    </row>
    <row r="17" spans="1:12" ht="14.25" thickBot="1" thickTop="1">
      <c r="A17" s="353" t="s">
        <v>307</v>
      </c>
      <c r="B17" s="40"/>
      <c r="C17" s="486">
        <f>Oppervlaktes!B8</f>
        <v>765.7057943925233</v>
      </c>
      <c r="D17" s="486">
        <f>Oppervlaktes!B9</f>
        <v>1551.972336448598</v>
      </c>
      <c r="E17" s="486">
        <f>Oppervlaktes!B10</f>
        <v>645.8919626168224</v>
      </c>
      <c r="F17" s="244">
        <f>Oppervlaktes!B11</f>
        <v>815.8878504672897</v>
      </c>
      <c r="G17" s="244">
        <f>Oppervlaktes!B14</f>
        <v>174.7663551401869</v>
      </c>
      <c r="H17" s="244">
        <f>Oppervlaktes!B13</f>
        <v>65.42056074766354</v>
      </c>
      <c r="I17" s="244">
        <f>Oppervlaktes!B16</f>
        <v>71.96261682242991</v>
      </c>
      <c r="J17" s="244">
        <f>Oppervlaktes!B15</f>
        <v>532.7102803738318</v>
      </c>
      <c r="K17" s="244">
        <f>Oppervlaktes!B17+Oppervlaktes!B18+Oppervlaktes!B19</f>
        <v>1415.8691588785045</v>
      </c>
      <c r="L17" s="29"/>
    </row>
    <row r="18" spans="1:12" ht="14.25" thickBot="1" thickTop="1">
      <c r="A18" s="353" t="s">
        <v>308</v>
      </c>
      <c r="B18" s="40"/>
      <c r="C18" s="356">
        <f aca="true" t="shared" si="2" ref="C18:K18">C16/C17</f>
        <v>46.97497612956072</v>
      </c>
      <c r="D18" s="356">
        <f t="shared" si="2"/>
        <v>47.11608078157083</v>
      </c>
      <c r="E18" s="356">
        <f t="shared" si="2"/>
        <v>47.03354850838549</v>
      </c>
      <c r="F18" s="356">
        <f t="shared" si="2"/>
        <v>32.49152745001052</v>
      </c>
      <c r="G18" s="356">
        <f t="shared" si="2"/>
        <v>29.103312800317035</v>
      </c>
      <c r="H18" s="356">
        <f t="shared" si="2"/>
        <v>29.093352804233778</v>
      </c>
      <c r="I18" s="356">
        <f t="shared" si="2"/>
        <v>49.446590494161455</v>
      </c>
      <c r="J18" s="356">
        <f t="shared" si="2"/>
        <v>52.20724577289096</v>
      </c>
      <c r="K18" s="356">
        <f t="shared" si="2"/>
        <v>256.6811376270194</v>
      </c>
      <c r="L18" s="29"/>
    </row>
    <row r="19" ht="13.5" thickTop="1"/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Footer>&amp;LConceptversie - 20 juni 2007 (Alleen te gebruiken voor interne doeleinden)&amp;RTabblad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D1">
      <selection activeCell="K1" sqref="K1:K2"/>
    </sheetView>
  </sheetViews>
  <sheetFormatPr defaultColWidth="9.140625" defaultRowHeight="12.75"/>
  <cols>
    <col min="1" max="1" width="31.00390625" style="0" customWidth="1"/>
    <col min="2" max="10" width="10.7109375" style="0" customWidth="1"/>
    <col min="11" max="11" width="16.28125" style="0" customWidth="1"/>
  </cols>
  <sheetData>
    <row r="1" spans="1:11" ht="21" thickTop="1">
      <c r="A1" s="4" t="s">
        <v>670</v>
      </c>
      <c r="B1" s="61"/>
      <c r="K1" s="622" t="s">
        <v>84</v>
      </c>
    </row>
    <row r="2" ht="13.5" thickBot="1">
      <c r="K2" s="624" t="s">
        <v>355</v>
      </c>
    </row>
    <row r="3" spans="3:13" ht="13.5" thickTop="1">
      <c r="C3" s="627"/>
      <c r="M3" s="11"/>
    </row>
    <row r="4" spans="2:13" ht="13.5" thickBot="1">
      <c r="B4" s="7"/>
      <c r="K4" s="11"/>
      <c r="M4" s="11"/>
    </row>
    <row r="5" spans="1:11" ht="155.25" thickBot="1" thickTop="1">
      <c r="A5" s="274"/>
      <c r="B5" s="893" t="s">
        <v>233</v>
      </c>
      <c r="C5" s="894" t="s">
        <v>234</v>
      </c>
      <c r="D5" s="894" t="s">
        <v>684</v>
      </c>
      <c r="E5" s="894" t="s">
        <v>278</v>
      </c>
      <c r="F5" s="894" t="s">
        <v>694</v>
      </c>
      <c r="G5" s="894" t="s">
        <v>72</v>
      </c>
      <c r="H5" s="894" t="s">
        <v>275</v>
      </c>
      <c r="I5" s="894" t="s">
        <v>73</v>
      </c>
      <c r="J5" s="895" t="s">
        <v>575</v>
      </c>
      <c r="K5" s="896" t="s">
        <v>30</v>
      </c>
    </row>
    <row r="6" spans="1:11" ht="14.25" thickBot="1" thickTop="1">
      <c r="A6" s="872"/>
      <c r="B6" s="7"/>
      <c r="C6" s="873"/>
      <c r="D6" s="7"/>
      <c r="E6" s="7"/>
      <c r="F6" s="7"/>
      <c r="G6" s="7"/>
      <c r="H6" s="7"/>
      <c r="I6" s="7"/>
      <c r="J6" s="9"/>
      <c r="K6" s="63"/>
    </row>
    <row r="7" spans="1:11" ht="14.25" thickBot="1" thickTop="1">
      <c r="A7" s="166" t="s">
        <v>671</v>
      </c>
      <c r="B7" s="40"/>
      <c r="C7" s="218"/>
      <c r="D7" s="40"/>
      <c r="E7" s="40"/>
      <c r="F7" s="40"/>
      <c r="G7" s="30"/>
      <c r="H7" s="30"/>
      <c r="I7" s="40"/>
      <c r="J7" s="29"/>
      <c r="K7" s="63"/>
    </row>
    <row r="8" spans="1:11" ht="13.5" thickTop="1">
      <c r="A8" s="650" t="s">
        <v>257</v>
      </c>
      <c r="B8" s="82">
        <f>3!E14</f>
        <v>1819.2803164869042</v>
      </c>
      <c r="C8" s="82">
        <f>3!E15</f>
        <v>3687.4119852692806</v>
      </c>
      <c r="D8" s="82">
        <f>3!E16</f>
        <v>1534.6083871522997</v>
      </c>
      <c r="E8" s="82">
        <f>3!E18</f>
        <v>1938.5104797248541</v>
      </c>
      <c r="F8" s="82">
        <f>3!E19</f>
        <v>155.4361209401372</v>
      </c>
      <c r="G8" s="435">
        <f>3!E20</f>
        <v>415.2364945115094</v>
      </c>
      <c r="H8" s="435">
        <f>3!E21</f>
        <v>170.97973303415094</v>
      </c>
      <c r="I8" s="82">
        <f>3!E22</f>
        <v>1063.6085106347923</v>
      </c>
      <c r="J8" s="850">
        <f>3!E23</f>
        <v>2255.932310854827</v>
      </c>
      <c r="K8" s="204">
        <f aca="true" t="shared" si="0" ref="K8:K13">SUM(B8:J8)</f>
        <v>13041.004338608758</v>
      </c>
    </row>
    <row r="9" spans="1:11" ht="12.75">
      <c r="A9" s="664" t="s">
        <v>672</v>
      </c>
      <c r="B9" s="83">
        <f>3A!C14</f>
        <v>139.25260884261817</v>
      </c>
      <c r="C9" s="83">
        <f>3A!C15</f>
        <v>282.2444315881111</v>
      </c>
      <c r="D9" s="83">
        <f>3A!C16</f>
        <v>117.46305367354233</v>
      </c>
      <c r="E9" s="83">
        <f>3A!C17</f>
        <v>148.37880623680368</v>
      </c>
      <c r="F9" s="83">
        <f>3A!C18</f>
        <v>11.897498781874292</v>
      </c>
      <c r="G9" s="96">
        <f>3A!C19</f>
        <v>31.783318174435607</v>
      </c>
      <c r="H9" s="96">
        <f>3A!C21</f>
        <v>13.087248660061723</v>
      </c>
      <c r="I9" s="83">
        <f>3A!C20</f>
        <v>96.87963293811924</v>
      </c>
      <c r="J9" s="37">
        <f>3A!C22</f>
        <v>205.48340110443405</v>
      </c>
      <c r="K9" s="204">
        <f t="shared" si="0"/>
        <v>1046.4700000000003</v>
      </c>
    </row>
    <row r="10" spans="1:12" ht="12.75">
      <c r="A10" s="664" t="s">
        <v>256</v>
      </c>
      <c r="B10" s="83">
        <f>4!D11</f>
        <v>1641.8525758329558</v>
      </c>
      <c r="C10" s="83">
        <f>4!D12</f>
        <v>3327.7922106377396</v>
      </c>
      <c r="D10" s="83">
        <f>4!D13</f>
        <v>1384.9436562949797</v>
      </c>
      <c r="E10" s="83">
        <f>4!D14</f>
        <v>1749.45465829116</v>
      </c>
      <c r="F10" s="83">
        <f>4!D15</f>
        <v>140.27700581945155</v>
      </c>
      <c r="G10" s="96">
        <f>4!D16</f>
        <v>374.7400012605349</v>
      </c>
      <c r="H10" s="96">
        <f>4!D18</f>
        <v>154.30470640139671</v>
      </c>
      <c r="I10" s="83">
        <f>4!D17</f>
        <v>1142.255618815534</v>
      </c>
      <c r="J10" s="37">
        <f>4!D19</f>
        <v>2422.744207080008</v>
      </c>
      <c r="K10" s="204">
        <f t="shared" si="0"/>
        <v>12338.364640433761</v>
      </c>
      <c r="L10" s="193"/>
    </row>
    <row r="11" spans="1:11" ht="12.75">
      <c r="A11" s="664" t="s">
        <v>673</v>
      </c>
      <c r="B11" s="83">
        <f>5!C63</f>
        <v>28405.393668802513</v>
      </c>
      <c r="C11" s="83">
        <f>5!C64</f>
        <v>57573.52954980343</v>
      </c>
      <c r="D11" s="83">
        <f>5!C65</f>
        <v>23960.659041638646</v>
      </c>
      <c r="E11" s="83">
        <f>5!C66</f>
        <v>30266.997784054827</v>
      </c>
      <c r="F11" s="83">
        <f>5!C67</f>
        <v>2426.9070388131017</v>
      </c>
      <c r="G11" s="96">
        <f>5!C68</f>
        <v>6483.308803686429</v>
      </c>
      <c r="H11" s="96">
        <f>5!C70</f>
        <v>2669.5977426944123</v>
      </c>
      <c r="I11" s="83">
        <f>5!C69</f>
        <v>19761.957316049542</v>
      </c>
      <c r="J11" s="37">
        <f>5!C71</f>
        <v>41915.45816834663</v>
      </c>
      <c r="K11" s="204">
        <f t="shared" si="0"/>
        <v>213463.80911388955</v>
      </c>
    </row>
    <row r="12" spans="1:11" ht="13.5" thickBot="1">
      <c r="A12" s="874" t="s">
        <v>360</v>
      </c>
      <c r="B12" s="84"/>
      <c r="C12" s="84"/>
      <c r="D12" s="84"/>
      <c r="E12" s="84">
        <f>E21*'Exploitatie MFC'!$B$8</f>
        <v>1737.6724539623972</v>
      </c>
      <c r="F12" s="84">
        <f>F21*'Exploitatie MFC'!$B$8</f>
        <v>139.33227007716815</v>
      </c>
      <c r="G12" s="84">
        <f>G21*'Exploitatie MFC'!$B$8</f>
        <v>372.2162072061492</v>
      </c>
      <c r="H12" s="84">
        <f>H21*'Exploitatie MFC'!$B$8</f>
        <v>153.26549708488497</v>
      </c>
      <c r="I12" s="84">
        <f>I21*'Exploitatie MFC'!$B$8</f>
        <v>1134.5627706283694</v>
      </c>
      <c r="J12" s="95"/>
      <c r="K12" s="205">
        <f t="shared" si="0"/>
        <v>3537.0491989589686</v>
      </c>
    </row>
    <row r="13" spans="1:11" ht="14.25" thickBot="1" thickTop="1">
      <c r="A13" s="897" t="s">
        <v>674</v>
      </c>
      <c r="B13" s="882">
        <f aca="true" t="shared" si="1" ref="B13:J13">SUM(B8:B12)</f>
        <v>32005.77916996499</v>
      </c>
      <c r="C13" s="882">
        <f t="shared" si="1"/>
        <v>64870.978177298566</v>
      </c>
      <c r="D13" s="882">
        <f t="shared" si="1"/>
        <v>26997.674138759467</v>
      </c>
      <c r="E13" s="882">
        <f t="shared" si="1"/>
        <v>35841.01418227004</v>
      </c>
      <c r="F13" s="882">
        <f t="shared" si="1"/>
        <v>2873.849934431733</v>
      </c>
      <c r="G13" s="883">
        <f t="shared" si="1"/>
        <v>7677.284824839058</v>
      </c>
      <c r="H13" s="883">
        <f t="shared" si="1"/>
        <v>3161.2349278749066</v>
      </c>
      <c r="I13" s="882">
        <f t="shared" si="1"/>
        <v>23199.26384906636</v>
      </c>
      <c r="J13" s="884">
        <f t="shared" si="1"/>
        <v>46799.6180873859</v>
      </c>
      <c r="K13" s="885">
        <f t="shared" si="0"/>
        <v>243426.697291891</v>
      </c>
    </row>
    <row r="14" spans="1:11" ht="14.25" thickBot="1" thickTop="1">
      <c r="A14" s="872"/>
      <c r="B14" s="7"/>
      <c r="C14" s="873"/>
      <c r="D14" s="7"/>
      <c r="E14" s="7"/>
      <c r="F14" s="7"/>
      <c r="G14" s="7"/>
      <c r="H14" s="25"/>
      <c r="I14" s="16"/>
      <c r="J14" s="9"/>
      <c r="K14" s="63"/>
    </row>
    <row r="15" spans="1:11" ht="14.25" thickBot="1" thickTop="1">
      <c r="A15" s="166" t="s">
        <v>675</v>
      </c>
      <c r="B15" s="40"/>
      <c r="C15" s="218"/>
      <c r="D15" s="40"/>
      <c r="E15" s="40"/>
      <c r="F15" s="40"/>
      <c r="G15" s="30"/>
      <c r="H15" s="30"/>
      <c r="I15" s="40"/>
      <c r="J15" s="29"/>
      <c r="K15" s="63"/>
    </row>
    <row r="16" spans="1:11" ht="14.25" thickBot="1" thickTop="1">
      <c r="A16" s="875" t="s">
        <v>675</v>
      </c>
      <c r="B16" s="218">
        <f>Servicekosten!C16</f>
        <v>35969.011413855114</v>
      </c>
      <c r="C16" s="218">
        <f>Servicekosten!D16</f>
        <v>73122.85397487537</v>
      </c>
      <c r="D16" s="218">
        <f>Servicekosten!E16</f>
        <v>30378.590954914627</v>
      </c>
      <c r="E16" s="218">
        <f>Servicekosten!F16</f>
        <v>26509.442489588022</v>
      </c>
      <c r="F16" s="218">
        <f>Servicekosten!H16</f>
        <v>1903.3034544825834</v>
      </c>
      <c r="G16" s="295">
        <f>Servicekosten!G16</f>
        <v>5086.279900616154</v>
      </c>
      <c r="H16" s="295">
        <f>Servicekosten!I16</f>
        <v>3558.3060449069458</v>
      </c>
      <c r="I16" s="218">
        <f>Servicekosten!J16</f>
        <v>27811.336533222286</v>
      </c>
      <c r="J16" s="293">
        <f>Servicekosten!K16</f>
        <v>363426.9064319456</v>
      </c>
      <c r="K16" s="876">
        <f>SUM(B16:J16)</f>
        <v>567766.0311984067</v>
      </c>
    </row>
    <row r="17" spans="1:11" ht="14.25" thickBot="1" thickTop="1">
      <c r="A17" s="892" t="s">
        <v>676</v>
      </c>
      <c r="B17" s="886">
        <f aca="true" t="shared" si="2" ref="B17:J17">SUM(B16)</f>
        <v>35969.011413855114</v>
      </c>
      <c r="C17" s="886">
        <f t="shared" si="2"/>
        <v>73122.85397487537</v>
      </c>
      <c r="D17" s="886">
        <f t="shared" si="2"/>
        <v>30378.590954914627</v>
      </c>
      <c r="E17" s="886">
        <f t="shared" si="2"/>
        <v>26509.442489588022</v>
      </c>
      <c r="F17" s="886">
        <f t="shared" si="2"/>
        <v>1903.3034544825834</v>
      </c>
      <c r="G17" s="886">
        <f t="shared" si="2"/>
        <v>5086.279900616154</v>
      </c>
      <c r="H17" s="886">
        <f t="shared" si="2"/>
        <v>3558.3060449069458</v>
      </c>
      <c r="I17" s="887">
        <f t="shared" si="2"/>
        <v>27811.336533222286</v>
      </c>
      <c r="J17" s="888">
        <f t="shared" si="2"/>
        <v>363426.9064319456</v>
      </c>
      <c r="K17" s="889">
        <f>SUM(B17:J17)</f>
        <v>567766.0311984067</v>
      </c>
    </row>
    <row r="18" spans="1:11" ht="14.25" thickBot="1" thickTop="1">
      <c r="A18" s="422"/>
      <c r="J18" s="29"/>
      <c r="K18" s="63"/>
    </row>
    <row r="19" spans="1:11" ht="14.25" thickBot="1" thickTop="1">
      <c r="A19" s="166" t="s">
        <v>677</v>
      </c>
      <c r="B19" s="40"/>
      <c r="C19" s="40"/>
      <c r="D19" s="40"/>
      <c r="E19" s="40"/>
      <c r="F19" s="26"/>
      <c r="G19" s="26"/>
      <c r="H19" s="26"/>
      <c r="I19" s="26"/>
      <c r="J19" s="29"/>
      <c r="K19" s="63"/>
    </row>
    <row r="20" spans="1:11" ht="13.5" thickTop="1">
      <c r="A20" s="650" t="s">
        <v>678</v>
      </c>
      <c r="B20" s="82"/>
      <c r="C20" s="82"/>
      <c r="D20" s="82"/>
      <c r="E20" s="82">
        <f>E16</f>
        <v>26509.442489588022</v>
      </c>
      <c r="F20" s="879">
        <f>F16</f>
        <v>1903.3034544825834</v>
      </c>
      <c r="G20" s="879">
        <f>G16</f>
        <v>5086.279900616154</v>
      </c>
      <c r="H20" s="879">
        <f>H16</f>
        <v>3558.3060449069458</v>
      </c>
      <c r="I20" s="879">
        <f>I16</f>
        <v>27811.336533222286</v>
      </c>
      <c r="J20" s="846"/>
      <c r="K20" s="207">
        <f aca="true" t="shared" si="3" ref="K20:K26">SUM(B20:J20)</f>
        <v>64868.66842281599</v>
      </c>
    </row>
    <row r="21" spans="1:11" ht="12.75">
      <c r="A21" s="664" t="s">
        <v>282</v>
      </c>
      <c r="B21" s="83"/>
      <c r="C21" s="83"/>
      <c r="D21" s="83"/>
      <c r="E21" s="83">
        <f>Huurinkomsten!D14</f>
        <v>86883.62269811986</v>
      </c>
      <c r="F21" s="487">
        <f>Huurinkomsten!D17</f>
        <v>6966.613503858407</v>
      </c>
      <c r="G21" s="487">
        <f>Huurinkomsten!D16</f>
        <v>18610.81036030746</v>
      </c>
      <c r="H21" s="487">
        <f>Huurinkomsten!D18</f>
        <v>7663.274854244249</v>
      </c>
      <c r="I21" s="487">
        <f>Huurinkomsten!D15</f>
        <v>56728.138531418466</v>
      </c>
      <c r="J21" s="453"/>
      <c r="K21" s="207">
        <f t="shared" si="3"/>
        <v>176852.45994794843</v>
      </c>
    </row>
    <row r="22" spans="1:11" ht="12.75">
      <c r="A22" s="664" t="s">
        <v>679</v>
      </c>
      <c r="B22" s="83"/>
      <c r="C22" s="83"/>
      <c r="D22" s="83"/>
      <c r="E22" s="83"/>
      <c r="F22" s="487"/>
      <c r="G22" s="487"/>
      <c r="H22" s="487"/>
      <c r="I22" s="487"/>
      <c r="J22" s="453">
        <f>'17'!H58</f>
        <v>94611.63</v>
      </c>
      <c r="K22" s="207">
        <f t="shared" si="3"/>
        <v>94611.63</v>
      </c>
    </row>
    <row r="23" spans="1:11" ht="12.75">
      <c r="A23" s="664" t="s">
        <v>687</v>
      </c>
      <c r="B23" s="83"/>
      <c r="C23" s="83"/>
      <c r="D23" s="83"/>
      <c r="E23" s="83"/>
      <c r="F23" s="487"/>
      <c r="G23" s="487"/>
      <c r="H23" s="487"/>
      <c r="I23" s="487"/>
      <c r="J23" s="453">
        <f>'18'!B18</f>
        <v>30006.989273620657</v>
      </c>
      <c r="K23" s="207">
        <f t="shared" si="3"/>
        <v>30006.989273620657</v>
      </c>
    </row>
    <row r="24" spans="1:11" ht="12.75">
      <c r="A24" s="18" t="s">
        <v>680</v>
      </c>
      <c r="B24" s="83">
        <f>'14'!D35</f>
        <v>34674.78991596639</v>
      </c>
      <c r="C24" s="83">
        <f>'15'!D34</f>
        <v>59831.93277310925</v>
      </c>
      <c r="D24" s="83">
        <f>'16'!D34</f>
        <v>30482.352941176472</v>
      </c>
      <c r="E24" s="83"/>
      <c r="F24" s="487"/>
      <c r="G24" s="487"/>
      <c r="H24" s="487"/>
      <c r="I24" s="487"/>
      <c r="J24" s="453"/>
      <c r="K24" s="207">
        <f t="shared" si="3"/>
        <v>124989.0756302521</v>
      </c>
    </row>
    <row r="25" spans="1:11" ht="13.5" thickBot="1">
      <c r="A25" s="14" t="s">
        <v>681</v>
      </c>
      <c r="B25" s="84">
        <f>5!F63</f>
        <v>10814.395055174951</v>
      </c>
      <c r="C25" s="84">
        <f>5!F64</f>
        <v>21919.178467721307</v>
      </c>
      <c r="D25" s="84">
        <f>5!F65</f>
        <v>9122.212340370415</v>
      </c>
      <c r="E25" s="84"/>
      <c r="F25" s="880"/>
      <c r="G25" s="880"/>
      <c r="H25" s="880"/>
      <c r="I25" s="880"/>
      <c r="J25" s="877"/>
      <c r="K25" s="878">
        <f t="shared" si="3"/>
        <v>41855.785863266676</v>
      </c>
    </row>
    <row r="26" spans="1:11" ht="14.25" thickBot="1" thickTop="1">
      <c r="A26" s="892" t="s">
        <v>682</v>
      </c>
      <c r="B26" s="886">
        <f aca="true" t="shared" si="4" ref="B26:J26">SUM(B20:B25)</f>
        <v>45489.18497114134</v>
      </c>
      <c r="C26" s="886">
        <f t="shared" si="4"/>
        <v>81751.11124083056</v>
      </c>
      <c r="D26" s="886">
        <f t="shared" si="4"/>
        <v>39604.565281546886</v>
      </c>
      <c r="E26" s="886">
        <f t="shared" si="4"/>
        <v>113393.06518770788</v>
      </c>
      <c r="F26" s="887">
        <f t="shared" si="4"/>
        <v>8869.916958340991</v>
      </c>
      <c r="G26" s="887">
        <f t="shared" si="4"/>
        <v>23697.090260923615</v>
      </c>
      <c r="H26" s="887">
        <f t="shared" si="4"/>
        <v>11221.580899151195</v>
      </c>
      <c r="I26" s="887">
        <f t="shared" si="4"/>
        <v>84539.47506464075</v>
      </c>
      <c r="J26" s="888">
        <f t="shared" si="4"/>
        <v>124618.61927362066</v>
      </c>
      <c r="K26" s="889">
        <f t="shared" si="3"/>
        <v>533184.6091379039</v>
      </c>
    </row>
    <row r="27" spans="10:11" ht="14.25" thickBot="1" thickTop="1">
      <c r="J27" s="29"/>
      <c r="K27" s="63"/>
    </row>
    <row r="28" spans="1:11" ht="14.25" thickBot="1" thickTop="1">
      <c r="A28" s="891" t="s">
        <v>683</v>
      </c>
      <c r="B28" s="890">
        <f>B26-B17-B13</f>
        <v>-22485.605612678766</v>
      </c>
      <c r="C28" s="890">
        <f aca="true" t="shared" si="5" ref="C28:K28">C26-C17-C13</f>
        <v>-56242.72091134337</v>
      </c>
      <c r="D28" s="890">
        <f t="shared" si="5"/>
        <v>-17771.699812127208</v>
      </c>
      <c r="E28" s="890">
        <f t="shared" si="5"/>
        <v>51042.60851584982</v>
      </c>
      <c r="F28" s="890">
        <f t="shared" si="5"/>
        <v>4092.763569426675</v>
      </c>
      <c r="G28" s="890">
        <f t="shared" si="5"/>
        <v>10933.525535468401</v>
      </c>
      <c r="H28" s="890">
        <f t="shared" si="5"/>
        <v>4502.039926369343</v>
      </c>
      <c r="I28" s="890">
        <f t="shared" si="5"/>
        <v>33528.8746823521</v>
      </c>
      <c r="J28" s="898">
        <f t="shared" si="5"/>
        <v>-285607.90524571086</v>
      </c>
      <c r="K28" s="901">
        <f t="shared" si="5"/>
        <v>-278008.1193523938</v>
      </c>
    </row>
    <row r="29" ht="13.5" thickTop="1"/>
    <row r="31" spans="1:3" ht="12.75">
      <c r="A31" s="193"/>
      <c r="B31" s="194"/>
      <c r="C31" s="194"/>
    </row>
    <row r="32" ht="12.75">
      <c r="A32" s="193"/>
    </row>
    <row r="33" ht="12.75">
      <c r="A33" s="193"/>
    </row>
    <row r="34" ht="12.75">
      <c r="A34" s="193"/>
    </row>
    <row r="35" ht="12.75">
      <c r="A35" s="193"/>
    </row>
    <row r="36" ht="12.75">
      <c r="A36" s="193"/>
    </row>
    <row r="37" ht="12.75">
      <c r="A37" s="193"/>
    </row>
    <row r="38" ht="12.75">
      <c r="A38" s="193"/>
    </row>
    <row r="39" ht="12.75">
      <c r="A39" s="193"/>
    </row>
    <row r="40" ht="12.75">
      <c r="A40" s="19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Footer>&amp;LConceptversie - 20 juni 2007 (Alleen te gebruiken voor interne doeleinden)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J1">
      <selection activeCell="Q2" sqref="Q2"/>
    </sheetView>
  </sheetViews>
  <sheetFormatPr defaultColWidth="9.140625" defaultRowHeight="12.75"/>
  <cols>
    <col min="1" max="2" width="31.00390625" style="0" customWidth="1"/>
    <col min="3" max="4" width="10.8515625" style="0" customWidth="1"/>
    <col min="5" max="18" width="10.7109375" style="0" customWidth="1"/>
    <col min="19" max="19" width="16.28125" style="0" customWidth="1"/>
  </cols>
  <sheetData>
    <row r="1" spans="1:19" ht="21" thickTop="1">
      <c r="A1" s="4" t="s">
        <v>742</v>
      </c>
      <c r="B1" s="4"/>
      <c r="C1" s="4"/>
      <c r="D1" s="4"/>
      <c r="E1" s="61"/>
      <c r="R1" s="622" t="s">
        <v>84</v>
      </c>
      <c r="S1" s="912"/>
    </row>
    <row r="2" spans="1:19" ht="21" thickBot="1">
      <c r="A2" s="4"/>
      <c r="B2" s="4"/>
      <c r="C2" s="4"/>
      <c r="D2" s="4"/>
      <c r="E2" s="61"/>
      <c r="R2" s="624" t="s">
        <v>355</v>
      </c>
      <c r="S2" s="914"/>
    </row>
    <row r="3" spans="1:19" ht="21.75" thickBot="1" thickTop="1">
      <c r="A3" s="4"/>
      <c r="B3" s="4"/>
      <c r="C3" s="4"/>
      <c r="D3" s="4"/>
      <c r="E3" s="61"/>
      <c r="S3" s="946"/>
    </row>
    <row r="4" spans="5:19" ht="14.25" thickBot="1" thickTop="1">
      <c r="E4" s="1000" t="s">
        <v>262</v>
      </c>
      <c r="F4" s="1001"/>
      <c r="G4" s="1001"/>
      <c r="H4" s="1001"/>
      <c r="I4" s="1002"/>
      <c r="J4" s="1003" t="s">
        <v>248</v>
      </c>
      <c r="K4" s="1004"/>
      <c r="L4" s="1004"/>
      <c r="M4" s="1004"/>
      <c r="N4" s="1004"/>
      <c r="O4" s="1004"/>
      <c r="P4" s="1004"/>
      <c r="Q4" s="1004"/>
      <c r="R4" s="1004"/>
      <c r="S4" s="997"/>
    </row>
    <row r="5" spans="1:19" ht="263.25" thickBot="1" thickTop="1">
      <c r="A5" s="274"/>
      <c r="B5" s="274"/>
      <c r="C5" s="893" t="s">
        <v>732</v>
      </c>
      <c r="D5" s="893" t="s">
        <v>735</v>
      </c>
      <c r="E5" s="893" t="s">
        <v>257</v>
      </c>
      <c r="F5" s="894" t="s">
        <v>727</v>
      </c>
      <c r="G5" s="894" t="s">
        <v>256</v>
      </c>
      <c r="H5" s="894" t="s">
        <v>738</v>
      </c>
      <c r="I5" s="932" t="s">
        <v>360</v>
      </c>
      <c r="J5" s="931" t="s">
        <v>736</v>
      </c>
      <c r="K5" s="894" t="s">
        <v>246</v>
      </c>
      <c r="L5" s="942" t="s">
        <v>737</v>
      </c>
      <c r="M5" s="894" t="s">
        <v>739</v>
      </c>
      <c r="N5" s="894" t="s">
        <v>241</v>
      </c>
      <c r="O5" s="894" t="s">
        <v>728</v>
      </c>
      <c r="P5" s="894" t="s">
        <v>247</v>
      </c>
      <c r="Q5" s="894" t="s">
        <v>243</v>
      </c>
      <c r="R5" s="930" t="s">
        <v>305</v>
      </c>
      <c r="S5" s="945" t="s">
        <v>30</v>
      </c>
    </row>
    <row r="6" spans="1:19" ht="14.25" thickBot="1" thickTop="1">
      <c r="A6" s="953"/>
      <c r="B6" s="953"/>
      <c r="C6" s="933"/>
      <c r="D6" s="953"/>
      <c r="E6" s="22"/>
      <c r="F6" s="218"/>
      <c r="G6" s="7"/>
      <c r="H6" s="966"/>
      <c r="I6" s="239"/>
      <c r="J6" s="22"/>
      <c r="K6" s="40"/>
      <c r="L6" s="40"/>
      <c r="M6" s="16"/>
      <c r="N6" s="16"/>
      <c r="O6" s="16"/>
      <c r="P6" s="16"/>
      <c r="Q6" s="16"/>
      <c r="R6" s="7"/>
      <c r="S6" s="63"/>
    </row>
    <row r="7" spans="1:24" ht="13.5" thickTop="1">
      <c r="A7" s="954" t="s">
        <v>233</v>
      </c>
      <c r="B7" s="955" t="s">
        <v>733</v>
      </c>
      <c r="C7" s="959">
        <f>Oppervlaktes!F8</f>
        <v>1034.3445378593472</v>
      </c>
      <c r="D7" s="959"/>
      <c r="E7" s="963">
        <f>3!E14</f>
        <v>1819.2803164869042</v>
      </c>
      <c r="F7" s="82">
        <f>3A!C14</f>
        <v>139.25260884261817</v>
      </c>
      <c r="G7" s="82">
        <f>4!D11</f>
        <v>1641.8525758329558</v>
      </c>
      <c r="H7" s="82">
        <f>5!F63</f>
        <v>10814.395055174951</v>
      </c>
      <c r="I7" s="846">
        <v>0</v>
      </c>
      <c r="J7" s="963">
        <f>1!C104</f>
        <v>2950.2996720125966</v>
      </c>
      <c r="K7" s="82">
        <f>2!C31</f>
        <v>8561.275880268351</v>
      </c>
      <c r="L7" s="82">
        <f>3!E27</f>
        <v>3595.876764747658</v>
      </c>
      <c r="M7" s="82">
        <f>5!G63</f>
        <v>17590.998613627562</v>
      </c>
      <c r="N7" s="82">
        <f>6!C34</f>
        <v>16516.493743322095</v>
      </c>
      <c r="O7" s="82">
        <f>7!C12</f>
        <v>1028.6646250516812</v>
      </c>
      <c r="P7" s="82">
        <f>8!D39</f>
        <v>1010.6220170373535</v>
      </c>
      <c r="Q7" s="82">
        <f>9!C28</f>
        <v>876.9362081955126</v>
      </c>
      <c r="R7" s="941">
        <f>'10'!C27</f>
        <v>1428.8425032198659</v>
      </c>
      <c r="S7" s="944">
        <f>SUM(E7:R7)</f>
        <v>67974.79058382011</v>
      </c>
      <c r="T7" s="944"/>
      <c r="U7" s="94"/>
      <c r="V7" s="94"/>
      <c r="W7" s="94"/>
      <c r="X7" s="943"/>
    </row>
    <row r="8" spans="1:24" ht="13.5" thickBot="1">
      <c r="A8" s="998"/>
      <c r="B8" s="968" t="s">
        <v>734</v>
      </c>
      <c r="C8" s="968">
        <f>'14'!B8</f>
        <v>900</v>
      </c>
      <c r="D8" s="968"/>
      <c r="E8" s="965">
        <v>0</v>
      </c>
      <c r="F8" s="84">
        <v>0</v>
      </c>
      <c r="G8" s="84">
        <v>0</v>
      </c>
      <c r="H8" s="84">
        <f>H7</f>
        <v>10814.395055174951</v>
      </c>
      <c r="I8" s="877">
        <v>0</v>
      </c>
      <c r="J8" s="965">
        <f>(('14'!D24*(1+'Exploitatie MFC'!B12))/(1+'Exploitatie MFC'!B13))</f>
        <v>2815.874749579832</v>
      </c>
      <c r="K8" s="84">
        <f>((('14'!D18+'14'!D19+'14'!D20)/(1+'Exploitatie MFC'!$B$13))*(1+'Exploitatie MFC'!$B$12))</f>
        <v>5882.269855462186</v>
      </c>
      <c r="L8" s="84">
        <f>(('14'!D22/(1+'Exploitatie MFC'!$B$13))*(1+'Exploitatie MFC'!$B$12))</f>
        <v>1630.1489478991598</v>
      </c>
      <c r="M8" s="84">
        <f>('14'!D13/(1+'Exploitatie MFC'!$B$13))*(1+'Exploitatie MFC'!$B$12)</f>
        <v>10885.465368067227</v>
      </c>
      <c r="N8" s="84">
        <f>('14'!D15/(1+'Exploitatie MFC'!$B$13))*(1+'Exploitatie MFC'!$B$12)</f>
        <v>13119.162352941175</v>
      </c>
      <c r="O8" s="84">
        <v>0</v>
      </c>
      <c r="P8" s="84">
        <f>('14'!D14/(1+'Exploitatie MFC'!$B$13))*(1+'Exploitatie MFC'!$B$12)</f>
        <v>342.223062184874</v>
      </c>
      <c r="Q8" s="84">
        <v>0</v>
      </c>
      <c r="R8" s="95">
        <v>0</v>
      </c>
      <c r="S8" s="95">
        <f>SUM(E8:R8)</f>
        <v>45489.53939130941</v>
      </c>
      <c r="T8" s="878"/>
      <c r="U8" s="94"/>
      <c r="V8" s="94"/>
      <c r="W8" s="94"/>
      <c r="X8" s="943"/>
    </row>
    <row r="9" spans="1:24" ht="14.25" thickBot="1" thickTop="1">
      <c r="A9" s="6"/>
      <c r="B9" s="970" t="s">
        <v>729</v>
      </c>
      <c r="C9" s="971">
        <f>C7-C8</f>
        <v>134.34453785934716</v>
      </c>
      <c r="D9" s="972">
        <f>C9/C8</f>
        <v>0.14927170873260795</v>
      </c>
      <c r="E9" s="973">
        <f>E8-E7</f>
        <v>-1819.2803164869042</v>
      </c>
      <c r="F9" s="974">
        <f>F8-F7</f>
        <v>-139.25260884261817</v>
      </c>
      <c r="G9" s="974">
        <f>G8-G7</f>
        <v>-1641.8525758329558</v>
      </c>
      <c r="H9" s="974">
        <f>H8-H7</f>
        <v>0</v>
      </c>
      <c r="I9" s="975">
        <v>0</v>
      </c>
      <c r="J9" s="976">
        <f aca="true" t="shared" si="0" ref="J9:S9">J8-J7</f>
        <v>-134.42492243276456</v>
      </c>
      <c r="K9" s="974">
        <f t="shared" si="0"/>
        <v>-2679.0060248061654</v>
      </c>
      <c r="L9" s="977">
        <f t="shared" si="0"/>
        <v>-1965.7278168484982</v>
      </c>
      <c r="M9" s="974">
        <f t="shared" si="0"/>
        <v>-6705.533245560335</v>
      </c>
      <c r="N9" s="974">
        <f t="shared" si="0"/>
        <v>-3397.3313903809194</v>
      </c>
      <c r="O9" s="974">
        <f t="shared" si="0"/>
        <v>-1028.6646250516812</v>
      </c>
      <c r="P9" s="974">
        <f t="shared" si="0"/>
        <v>-668.3989548524796</v>
      </c>
      <c r="Q9" s="974">
        <f t="shared" si="0"/>
        <v>-876.9362081955126</v>
      </c>
      <c r="R9" s="978">
        <f t="shared" si="0"/>
        <v>-1428.8425032198659</v>
      </c>
      <c r="S9" s="978">
        <f t="shared" si="0"/>
        <v>-22485.251192510703</v>
      </c>
      <c r="T9" s="972">
        <f>S9/S8</f>
        <v>-0.49429498503135905</v>
      </c>
      <c r="U9" s="94"/>
      <c r="V9" s="94"/>
      <c r="W9" s="94"/>
      <c r="X9" s="943"/>
    </row>
    <row r="10" spans="1:24" ht="13.5" thickTop="1">
      <c r="A10" s="5"/>
      <c r="B10" s="957"/>
      <c r="C10" s="960"/>
      <c r="D10" s="960"/>
      <c r="E10" s="18"/>
      <c r="F10" s="19"/>
      <c r="G10" s="19"/>
      <c r="H10" s="19"/>
      <c r="I10" s="448"/>
      <c r="J10" s="18"/>
      <c r="K10" s="83"/>
      <c r="L10" s="19"/>
      <c r="M10" s="83"/>
      <c r="N10" s="83"/>
      <c r="O10" s="83"/>
      <c r="P10" s="83"/>
      <c r="Q10" s="83"/>
      <c r="R10" s="850"/>
      <c r="S10" s="37"/>
      <c r="T10" s="944"/>
      <c r="U10" s="94"/>
      <c r="V10" s="94"/>
      <c r="W10" s="94"/>
      <c r="X10" s="943"/>
    </row>
    <row r="11" spans="1:24" ht="12.75">
      <c r="A11" s="999" t="s">
        <v>234</v>
      </c>
      <c r="B11" s="956" t="s">
        <v>731</v>
      </c>
      <c r="C11" s="960">
        <f>Oppervlaktes!F9</f>
        <v>2096.4633164203346</v>
      </c>
      <c r="D11" s="960"/>
      <c r="E11" s="964">
        <f>3!E15</f>
        <v>3687.4119852692806</v>
      </c>
      <c r="F11" s="83">
        <f>3A!C15</f>
        <v>282.2444315881111</v>
      </c>
      <c r="G11" s="83">
        <f>4!D12</f>
        <v>3327.7922106377396</v>
      </c>
      <c r="H11" s="83">
        <f>5!F64</f>
        <v>21919.178467721307</v>
      </c>
      <c r="I11" s="453">
        <v>0</v>
      </c>
      <c r="J11" s="964">
        <f>1!C105</f>
        <v>5979.820851205029</v>
      </c>
      <c r="K11" s="83">
        <f>2!C32</f>
        <v>17352.439315706502</v>
      </c>
      <c r="L11" s="83">
        <f>3!E28</f>
        <v>7399.460441189765</v>
      </c>
      <c r="M11" s="83">
        <f>5!G64</f>
        <v>35654.351082082125</v>
      </c>
      <c r="N11" s="83">
        <f>6!C35</f>
        <v>33476.4887147007</v>
      </c>
      <c r="O11" s="83">
        <f>7!C13</f>
        <v>2084.9509736700347</v>
      </c>
      <c r="P11" s="83">
        <f>8!D40</f>
        <v>2048.381277161681</v>
      </c>
      <c r="Q11" s="83">
        <f>9!C29</f>
        <v>1777.4199254026867</v>
      </c>
      <c r="R11" s="37">
        <f>'10'!C28</f>
        <v>2896.0523145818465</v>
      </c>
      <c r="S11" s="37">
        <f>SUM(E11:R11)</f>
        <v>137885.9919909168</v>
      </c>
      <c r="T11" s="207"/>
      <c r="U11" s="94"/>
      <c r="V11" s="94"/>
      <c r="W11" s="94"/>
      <c r="X11" s="943"/>
    </row>
    <row r="12" spans="1:24" ht="13.5" thickBot="1">
      <c r="A12" s="5"/>
      <c r="B12" s="968" t="s">
        <v>734</v>
      </c>
      <c r="C12" s="962">
        <f>'15'!B8</f>
        <v>1590</v>
      </c>
      <c r="D12" s="962"/>
      <c r="E12" s="965">
        <v>0</v>
      </c>
      <c r="F12" s="84">
        <v>0</v>
      </c>
      <c r="G12" s="84">
        <v>0</v>
      </c>
      <c r="H12" s="84">
        <f>H11</f>
        <v>21919.178467721307</v>
      </c>
      <c r="I12" s="877">
        <v>0</v>
      </c>
      <c r="J12" s="965">
        <f>(('15'!D23/(1+'Exploitatie MFC'!$B$13))*(1+'Exploitatie MFC'!$B$12))</f>
        <v>4676.727052100841</v>
      </c>
      <c r="K12" s="84">
        <f>((('15'!D17+'15'!D18+'15'!D19)/(1+'Exploitatie MFC'!$B$13))*(1+'Exploitatie MFC'!$B$12))</f>
        <v>10298.849687394963</v>
      </c>
      <c r="L12" s="84">
        <f>(('15'!D21/(1+'Exploitatie MFC'!$B$13))*(1+'Exploitatie MFC'!$B$12))</f>
        <v>2666.573015126051</v>
      </c>
      <c r="M12" s="84">
        <f>('15'!D12/(1+'Exploitatie MFC'!$B$13))*(1+'Exploitatie MFC'!$B$12)</f>
        <v>18434.872494117648</v>
      </c>
      <c r="N12" s="84">
        <f>('15'!D14/(1+'Exploitatie MFC'!$B$13))*(1+'Exploitatie MFC'!$B$12)</f>
        <v>23177.186823529413</v>
      </c>
      <c r="O12" s="84">
        <v>0</v>
      </c>
      <c r="P12" s="84">
        <f>('15'!D13/(1+'Exploitatie MFC'!$B$13))*(1+'Exploitatie MFC'!$B$12)</f>
        <v>577.773986554622</v>
      </c>
      <c r="Q12" s="84">
        <v>0</v>
      </c>
      <c r="R12" s="95">
        <v>0</v>
      </c>
      <c r="S12" s="95">
        <f>SUM(E12:R12)</f>
        <v>81751.16152654483</v>
      </c>
      <c r="T12" s="878"/>
      <c r="U12" s="94"/>
      <c r="V12" s="94"/>
      <c r="W12" s="94"/>
      <c r="X12" s="943"/>
    </row>
    <row r="13" spans="1:24" ht="14.25" thickBot="1" thickTop="1">
      <c r="A13" s="5"/>
      <c r="B13" s="979" t="s">
        <v>729</v>
      </c>
      <c r="C13" s="980">
        <f>C11-C12</f>
        <v>506.46331642033465</v>
      </c>
      <c r="D13" s="981">
        <f>C13/C12</f>
        <v>0.31853038768574504</v>
      </c>
      <c r="E13" s="982">
        <f>E12-E11</f>
        <v>-3687.4119852692806</v>
      </c>
      <c r="F13" s="983">
        <f>F12-F11</f>
        <v>-282.2444315881111</v>
      </c>
      <c r="G13" s="983">
        <f>G12-G11</f>
        <v>-3327.7922106377396</v>
      </c>
      <c r="H13" s="983">
        <f>H12-H11</f>
        <v>0</v>
      </c>
      <c r="I13" s="984">
        <v>0</v>
      </c>
      <c r="J13" s="982">
        <f aca="true" t="shared" si="1" ref="J13:S13">J12-J11</f>
        <v>-1303.0937991041874</v>
      </c>
      <c r="K13" s="983">
        <f t="shared" si="1"/>
        <v>-7053.58962831154</v>
      </c>
      <c r="L13" s="985">
        <f t="shared" si="1"/>
        <v>-4732.887426063715</v>
      </c>
      <c r="M13" s="983">
        <f t="shared" si="1"/>
        <v>-17219.478587964477</v>
      </c>
      <c r="N13" s="983">
        <f t="shared" si="1"/>
        <v>-10299.30189117129</v>
      </c>
      <c r="O13" s="983">
        <f t="shared" si="1"/>
        <v>-2084.9509736700347</v>
      </c>
      <c r="P13" s="983">
        <f t="shared" si="1"/>
        <v>-1470.607290607059</v>
      </c>
      <c r="Q13" s="983">
        <f t="shared" si="1"/>
        <v>-1777.4199254026867</v>
      </c>
      <c r="R13" s="978">
        <f t="shared" si="1"/>
        <v>-2896.0523145818465</v>
      </c>
      <c r="S13" s="978">
        <f t="shared" si="1"/>
        <v>-56134.830464371975</v>
      </c>
      <c r="T13" s="972">
        <f>S13/S12</f>
        <v>-0.6866548366550711</v>
      </c>
      <c r="U13" s="94"/>
      <c r="V13" s="94"/>
      <c r="W13" s="94"/>
      <c r="X13" s="943"/>
    </row>
    <row r="14" spans="1:24" ht="14.25" thickBot="1" thickTop="1">
      <c r="A14" s="63"/>
      <c r="B14" s="958"/>
      <c r="C14" s="961"/>
      <c r="D14" s="961"/>
      <c r="E14" s="13"/>
      <c r="F14" s="15"/>
      <c r="G14" s="15"/>
      <c r="H14" s="15"/>
      <c r="I14" s="967"/>
      <c r="J14" s="13"/>
      <c r="K14" s="82"/>
      <c r="L14" s="15"/>
      <c r="M14" s="82"/>
      <c r="N14" s="82"/>
      <c r="O14" s="82"/>
      <c r="P14" s="82"/>
      <c r="Q14" s="82"/>
      <c r="R14" s="969"/>
      <c r="S14" s="293"/>
      <c r="T14" s="876"/>
      <c r="U14" s="94"/>
      <c r="V14" s="94"/>
      <c r="W14" s="94"/>
      <c r="X14" s="943"/>
    </row>
    <row r="15" spans="1:24" ht="13.5" thickTop="1">
      <c r="A15" s="999" t="s">
        <v>235</v>
      </c>
      <c r="B15" s="955" t="s">
        <v>731</v>
      </c>
      <c r="C15" s="961">
        <f>Oppervlaktes!F10</f>
        <v>872.4954525255807</v>
      </c>
      <c r="D15" s="961"/>
      <c r="E15" s="963">
        <f>3!E16</f>
        <v>1534.6083871522997</v>
      </c>
      <c r="F15" s="82">
        <f>3A!C16</f>
        <v>117.46305367354233</v>
      </c>
      <c r="G15" s="82">
        <f>4!D13</f>
        <v>1384.9436562949797</v>
      </c>
      <c r="H15" s="82">
        <f>5!F65</f>
        <v>9122.212340370415</v>
      </c>
      <c r="I15" s="846">
        <v>0</v>
      </c>
      <c r="J15" s="963">
        <f>1!C106</f>
        <v>2488.651463028017</v>
      </c>
      <c r="K15" s="82">
        <f>2!C33</f>
        <v>7221.650040140513</v>
      </c>
      <c r="L15" s="82">
        <f>3!E29</f>
        <v>3026.162923594533</v>
      </c>
      <c r="M15" s="82">
        <f>5!G65</f>
        <v>14838.446701268229</v>
      </c>
      <c r="N15" s="82">
        <f>6!C36</f>
        <v>13932.075005239038</v>
      </c>
      <c r="O15" s="82">
        <f>7!C14</f>
        <v>867.7043042050351</v>
      </c>
      <c r="P15" s="82">
        <f>8!D41</f>
        <v>852.4849136944205</v>
      </c>
      <c r="Q15" s="82">
        <f>9!C30</f>
        <v>739.7175948635927</v>
      </c>
      <c r="R15" s="846">
        <f>'10'!C29</f>
        <v>1205.2643396896094</v>
      </c>
      <c r="S15" s="850">
        <f>SUM(E15:R15)</f>
        <v>57331.38472321422</v>
      </c>
      <c r="T15" s="944"/>
      <c r="U15" s="94"/>
      <c r="V15" s="94"/>
      <c r="W15" s="94"/>
      <c r="X15" s="943"/>
    </row>
    <row r="16" spans="1:24" ht="13.5" thickBot="1">
      <c r="A16" s="5"/>
      <c r="B16" s="968" t="s">
        <v>734</v>
      </c>
      <c r="C16" s="962">
        <f>'16'!B8</f>
        <v>785</v>
      </c>
      <c r="D16" s="962"/>
      <c r="E16" s="965">
        <v>0</v>
      </c>
      <c r="F16" s="84">
        <v>0</v>
      </c>
      <c r="G16" s="84">
        <v>0</v>
      </c>
      <c r="H16" s="84">
        <f>H15</f>
        <v>9122.212340370415</v>
      </c>
      <c r="I16" s="877">
        <v>0</v>
      </c>
      <c r="J16" s="965">
        <f>(('16'!D23/(1+'Exploitatie MFC'!$B$13))*(1+'Exploitatie MFC'!$B$12))</f>
        <v>2505.732699159664</v>
      </c>
      <c r="K16" s="84">
        <f>((('16'!D17+'16'!D18+'16'!D19)/(1+'Exploitatie MFC'!$B$13))*(1+'Exploitatie MFC'!$B$12))</f>
        <v>5146.173216806723</v>
      </c>
      <c r="L16" s="84">
        <f>(('16'!D21/(1+'Exploitatie MFC'!$B$13))*(1+'Exploitatie MFC'!$B$12))</f>
        <v>1457.4116033613445</v>
      </c>
      <c r="M16" s="84">
        <f>('16'!D12/(1+'Exploitatie MFC'!$B$13))*(1+'Exploitatie MFC'!$B$12)</f>
        <v>9627.230847058825</v>
      </c>
      <c r="N16" s="84">
        <f>('16'!D14/(1+'Exploitatie MFC'!$B$13))*(1+'Exploitatie MFC'!$B$12)</f>
        <v>11442.82494117647</v>
      </c>
      <c r="O16" s="84">
        <v>0</v>
      </c>
      <c r="P16" s="84">
        <f>('16'!D13/(1+'Exploitatie MFC'!$B$13))*(1+'Exploitatie MFC'!$B$12)</f>
        <v>302.964574789916</v>
      </c>
      <c r="Q16" s="84">
        <v>0</v>
      </c>
      <c r="R16" s="877">
        <v>0</v>
      </c>
      <c r="S16" s="95">
        <f>SUM(E16:R16)</f>
        <v>39604.55022272336</v>
      </c>
      <c r="T16" s="878"/>
      <c r="U16" s="94"/>
      <c r="V16" s="94"/>
      <c r="W16" s="94"/>
      <c r="X16" s="943"/>
    </row>
    <row r="17" spans="1:24" ht="14.25" thickBot="1" thickTop="1">
      <c r="A17" s="5"/>
      <c r="B17" s="970" t="s">
        <v>729</v>
      </c>
      <c r="C17" s="971">
        <f>C15-C16</f>
        <v>87.49545252558073</v>
      </c>
      <c r="D17" s="972">
        <f>C17/C16</f>
        <v>0.1114591751918226</v>
      </c>
      <c r="E17" s="973">
        <f>E16-E15</f>
        <v>-1534.6083871522997</v>
      </c>
      <c r="F17" s="974">
        <f>F16-F15</f>
        <v>-117.46305367354233</v>
      </c>
      <c r="G17" s="974">
        <f>G16-G15</f>
        <v>-1384.9436562949797</v>
      </c>
      <c r="H17" s="974">
        <f>H16-H15</f>
        <v>0</v>
      </c>
      <c r="I17" s="975">
        <v>0</v>
      </c>
      <c r="J17" s="976">
        <f aca="true" t="shared" si="2" ref="J17:R17">J16-J15</f>
        <v>17.081236131647074</v>
      </c>
      <c r="K17" s="974">
        <f t="shared" si="2"/>
        <v>-2075.47682333379</v>
      </c>
      <c r="L17" s="977">
        <f t="shared" si="2"/>
        <v>-1568.7513202331884</v>
      </c>
      <c r="M17" s="974">
        <f t="shared" si="2"/>
        <v>-5211.215854209404</v>
      </c>
      <c r="N17" s="974">
        <f t="shared" si="2"/>
        <v>-2489.2500640625676</v>
      </c>
      <c r="O17" s="974">
        <f t="shared" si="2"/>
        <v>-867.7043042050351</v>
      </c>
      <c r="P17" s="974">
        <f t="shared" si="2"/>
        <v>-549.5203389045045</v>
      </c>
      <c r="Q17" s="974">
        <f t="shared" si="2"/>
        <v>-739.7175948635927</v>
      </c>
      <c r="R17" s="975">
        <f t="shared" si="2"/>
        <v>-1205.2643396896094</v>
      </c>
      <c r="S17" s="978">
        <f>SUM(E17:R17)</f>
        <v>-17726.834500490866</v>
      </c>
      <c r="T17" s="972">
        <f>S17/S16</f>
        <v>-0.447595905036184</v>
      </c>
      <c r="U17" s="94"/>
      <c r="V17" s="94"/>
      <c r="W17" s="94"/>
      <c r="X17" s="943"/>
    </row>
    <row r="18" spans="1:24" ht="14.25" thickBot="1" thickTop="1">
      <c r="A18" s="63"/>
      <c r="B18" s="986"/>
      <c r="C18" s="987"/>
      <c r="D18" s="987"/>
      <c r="E18" s="26"/>
      <c r="F18" s="26"/>
      <c r="G18" s="26"/>
      <c r="H18" s="26"/>
      <c r="I18" s="29"/>
      <c r="J18" s="26"/>
      <c r="K18" s="294"/>
      <c r="L18" s="26"/>
      <c r="M18" s="26"/>
      <c r="N18" s="26"/>
      <c r="O18" s="26"/>
      <c r="P18" s="26"/>
      <c r="Q18" s="294"/>
      <c r="R18" s="293"/>
      <c r="S18" s="876"/>
      <c r="T18" s="293"/>
      <c r="U18" s="94"/>
      <c r="V18" s="94"/>
      <c r="W18" s="94"/>
      <c r="X18" s="943"/>
    </row>
    <row r="19" spans="1:25" ht="14.25" thickBot="1" thickTop="1">
      <c r="A19" s="988" t="s">
        <v>683</v>
      </c>
      <c r="B19" s="989"/>
      <c r="C19" s="990">
        <f>C9+C13+C17</f>
        <v>728.3033068052625</v>
      </c>
      <c r="D19" s="990"/>
      <c r="E19" s="991">
        <f>E9+E13+E17</f>
        <v>-7041.3006889084845</v>
      </c>
      <c r="F19" s="992">
        <f aca="true" t="shared" si="3" ref="F19:S19">F9+F13+F17</f>
        <v>-538.9600941042715</v>
      </c>
      <c r="G19" s="991">
        <f t="shared" si="3"/>
        <v>-6354.588442765675</v>
      </c>
      <c r="H19" s="992">
        <f t="shared" si="3"/>
        <v>0</v>
      </c>
      <c r="I19" s="993">
        <f t="shared" si="3"/>
        <v>0</v>
      </c>
      <c r="J19" s="991">
        <f t="shared" si="3"/>
        <v>-1420.4374854053049</v>
      </c>
      <c r="K19" s="992">
        <f t="shared" si="3"/>
        <v>-11808.072476451496</v>
      </c>
      <c r="L19" s="991">
        <f t="shared" si="3"/>
        <v>-8267.366563145402</v>
      </c>
      <c r="M19" s="992">
        <f t="shared" si="3"/>
        <v>-29136.227687734216</v>
      </c>
      <c r="N19" s="994">
        <f t="shared" si="3"/>
        <v>-16185.883345614777</v>
      </c>
      <c r="O19" s="994">
        <f t="shared" si="3"/>
        <v>-3981.319902926751</v>
      </c>
      <c r="P19" s="994">
        <f t="shared" si="3"/>
        <v>-2688.526584364043</v>
      </c>
      <c r="Q19" s="991">
        <f t="shared" si="3"/>
        <v>-3394.073728461792</v>
      </c>
      <c r="R19" s="995">
        <f t="shared" si="3"/>
        <v>-5530.159157491322</v>
      </c>
      <c r="S19" s="996">
        <f t="shared" si="3"/>
        <v>-96346.91615737355</v>
      </c>
      <c r="T19" s="95"/>
      <c r="U19" s="94"/>
      <c r="V19" s="94"/>
      <c r="W19" s="94"/>
      <c r="X19" s="94"/>
      <c r="Y19" s="94"/>
    </row>
    <row r="20" spans="2:25" ht="13.5" thickTop="1">
      <c r="B20" s="73"/>
      <c r="C20" s="940"/>
      <c r="D20" s="940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</row>
    <row r="21" spans="2:25" ht="12.75">
      <c r="B21" s="73"/>
      <c r="C21" s="940"/>
      <c r="D21" s="940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2:25" ht="12.75">
      <c r="B22" s="73"/>
      <c r="C22" s="940"/>
      <c r="D22" s="940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</row>
    <row r="23" spans="2:25" ht="12.75">
      <c r="B23" s="73"/>
      <c r="C23" s="940"/>
      <c r="D23" s="940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2:25" ht="12.75">
      <c r="B24" s="73"/>
      <c r="C24" s="940"/>
      <c r="D24" s="940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</row>
    <row r="25" spans="2:25" ht="12.75">
      <c r="B25" s="73"/>
      <c r="C25" s="940"/>
      <c r="D25" s="940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</row>
    <row r="26" spans="5:25" ht="12.75"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</row>
  </sheetData>
  <sheetProtection/>
  <mergeCells count="2">
    <mergeCell ref="E4:I4"/>
    <mergeCell ref="J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G139"/>
  <sheetViews>
    <sheetView zoomScalePageLayoutView="0" workbookViewId="0" topLeftCell="A97">
      <selection activeCell="C110" sqref="C110"/>
    </sheetView>
  </sheetViews>
  <sheetFormatPr defaultColWidth="9.140625" defaultRowHeight="12.75"/>
  <cols>
    <col min="1" max="1" width="39.140625" style="0" customWidth="1"/>
    <col min="2" max="2" width="14.421875" style="0" customWidth="1"/>
    <col min="3" max="3" width="19.7109375" style="0" bestFit="1" customWidth="1"/>
    <col min="4" max="4" width="21.421875" style="0" bestFit="1" customWidth="1"/>
    <col min="5" max="5" width="20.00390625" style="0" customWidth="1"/>
    <col min="6" max="6" width="4.57421875" style="0" bestFit="1" customWidth="1"/>
    <col min="7" max="7" width="14.8515625" style="0" customWidth="1"/>
  </cols>
  <sheetData>
    <row r="1" spans="1:5" ht="21" thickTop="1">
      <c r="A1" s="4" t="s">
        <v>329</v>
      </c>
      <c r="E1" s="622" t="s">
        <v>84</v>
      </c>
    </row>
    <row r="2" spans="1:5" ht="13.5" customHeight="1" thickBot="1">
      <c r="A2" s="91"/>
      <c r="E2" s="624" t="s">
        <v>355</v>
      </c>
    </row>
    <row r="3" spans="1:5" ht="13.5" customHeight="1" thickTop="1">
      <c r="A3" s="1" t="s">
        <v>17</v>
      </c>
      <c r="E3" s="246"/>
    </row>
    <row r="4" ht="13.5" thickBot="1"/>
    <row r="5" spans="1:5" ht="14.25" thickBot="1" thickTop="1">
      <c r="A5" s="265" t="s">
        <v>162</v>
      </c>
      <c r="B5" s="319" t="s">
        <v>439</v>
      </c>
      <c r="C5" s="267" t="s">
        <v>328</v>
      </c>
      <c r="D5" s="267"/>
      <c r="E5" s="292" t="s">
        <v>440</v>
      </c>
    </row>
    <row r="6" spans="1:5" ht="13.5" thickTop="1">
      <c r="A6" s="18" t="s">
        <v>161</v>
      </c>
      <c r="B6" s="96">
        <v>34914</v>
      </c>
      <c r="C6" s="98">
        <f>B6*11%</f>
        <v>3840.54</v>
      </c>
      <c r="D6" s="98"/>
      <c r="E6" s="428">
        <f>B6+C6</f>
        <v>38754.54</v>
      </c>
    </row>
    <row r="7" spans="1:5" ht="12.75">
      <c r="A7" s="18" t="s">
        <v>157</v>
      </c>
      <c r="B7" s="96">
        <v>36764</v>
      </c>
      <c r="C7" s="98">
        <f>B7*11%</f>
        <v>4044.04</v>
      </c>
      <c r="D7" s="98"/>
      <c r="E7" s="428">
        <f>B7+C7</f>
        <v>40808.04</v>
      </c>
    </row>
    <row r="8" spans="1:5" ht="13.5" thickBot="1">
      <c r="A8" s="14" t="s">
        <v>158</v>
      </c>
      <c r="B8" s="97">
        <v>38633</v>
      </c>
      <c r="C8" s="99">
        <f>B8*11%</f>
        <v>4249.63</v>
      </c>
      <c r="D8" s="99"/>
      <c r="E8" s="482">
        <f>B8+C8</f>
        <v>42882.63</v>
      </c>
    </row>
    <row r="9" spans="1:7" ht="14.25" thickBot="1" thickTop="1">
      <c r="A9" s="11"/>
      <c r="B9" s="152"/>
      <c r="C9" s="153"/>
      <c r="D9" s="153"/>
      <c r="E9" s="153"/>
      <c r="F9" s="152"/>
      <c r="G9" s="152"/>
    </row>
    <row r="10" spans="1:7" ht="14.25" thickBot="1" thickTop="1">
      <c r="A10" s="265" t="s">
        <v>372</v>
      </c>
      <c r="B10" s="437" t="s">
        <v>356</v>
      </c>
      <c r="C10" s="438" t="s">
        <v>377</v>
      </c>
      <c r="D10" s="432"/>
      <c r="E10" s="153"/>
      <c r="F10" s="152"/>
      <c r="G10" s="152"/>
    </row>
    <row r="11" spans="1:7" ht="13.5" thickTop="1">
      <c r="A11" s="436" t="s">
        <v>373</v>
      </c>
      <c r="B11" s="435">
        <f>(((((11300*(1+4%))*(1+2%))*(1+1%))*(1+1.5%))*(1+1.9%))</f>
        <v>12521.995823063999</v>
      </c>
      <c r="C11" s="434"/>
      <c r="D11" s="77"/>
      <c r="E11" s="153"/>
      <c r="F11" s="152"/>
      <c r="G11" s="152"/>
    </row>
    <row r="12" spans="1:7" ht="12.75">
      <c r="A12" s="155" t="s">
        <v>374</v>
      </c>
      <c r="B12" s="96">
        <f>(((((5700*(1+2.5%))*(1+2.5%))*(1+1%))*(1+1.25%))*(1+1.25%))</f>
        <v>6200.604398144529</v>
      </c>
      <c r="C12" s="153" t="s">
        <v>375</v>
      </c>
      <c r="D12" s="57"/>
      <c r="E12" s="153"/>
      <c r="F12" s="152"/>
      <c r="G12" s="152"/>
    </row>
    <row r="13" spans="1:7" ht="13.5" thickBot="1">
      <c r="A13" s="424" t="s">
        <v>376</v>
      </c>
      <c r="B13" s="97">
        <f>(((((1100*(1+3%))*(1+1.5%))*(1+0%))*(1+1.75%))*(1+3.5%))</f>
        <v>1211.0741094375</v>
      </c>
      <c r="C13" s="420" t="s">
        <v>375</v>
      </c>
      <c r="D13" s="60"/>
      <c r="E13" s="153"/>
      <c r="F13" s="152"/>
      <c r="G13" s="152"/>
    </row>
    <row r="14" spans="1:6" ht="14.25" thickBot="1" thickTop="1">
      <c r="A14" s="11"/>
      <c r="B14" s="152"/>
      <c r="C14" s="153"/>
      <c r="D14" s="153"/>
      <c r="E14" s="153"/>
      <c r="F14" s="152"/>
    </row>
    <row r="15" spans="1:6" ht="14.25" thickBot="1" thickTop="1">
      <c r="A15" s="265" t="s">
        <v>199</v>
      </c>
      <c r="B15" s="329"/>
      <c r="C15" s="267" t="s">
        <v>62</v>
      </c>
      <c r="D15" s="267" t="s">
        <v>63</v>
      </c>
      <c r="E15" s="296" t="s">
        <v>30</v>
      </c>
      <c r="F15" s="276"/>
    </row>
    <row r="16" spans="1:6" ht="13.5" thickTop="1">
      <c r="A16" s="18" t="s">
        <v>198</v>
      </c>
      <c r="B16" s="39"/>
      <c r="C16" s="69">
        <v>39083.333333333336</v>
      </c>
      <c r="D16" s="69">
        <v>39083.375</v>
      </c>
      <c r="E16" s="67">
        <f>D16-C16</f>
        <v>0.04166666666424135</v>
      </c>
      <c r="F16" s="27" t="s">
        <v>64</v>
      </c>
    </row>
    <row r="17" spans="1:6" ht="12.75">
      <c r="A17" s="18" t="s">
        <v>197</v>
      </c>
      <c r="B17" s="39"/>
      <c r="C17" s="69">
        <v>39083.375</v>
      </c>
      <c r="D17" s="69">
        <v>39083.979166666664</v>
      </c>
      <c r="E17" s="67">
        <f>D17-C17</f>
        <v>0.6041666666642413</v>
      </c>
      <c r="F17" s="27" t="s">
        <v>64</v>
      </c>
    </row>
    <row r="18" spans="1:6" ht="13.5" thickBot="1">
      <c r="A18" s="14" t="s">
        <v>200</v>
      </c>
      <c r="B18" s="25"/>
      <c r="C18" s="70">
        <v>39083.979166666664</v>
      </c>
      <c r="D18" s="70">
        <v>39084</v>
      </c>
      <c r="E18" s="68">
        <f>D18-C18</f>
        <v>0.020833333335758653</v>
      </c>
      <c r="F18" s="9" t="s">
        <v>64</v>
      </c>
    </row>
    <row r="19" spans="1:6" ht="14.25" thickBot="1" thickTop="1">
      <c r="A19" s="166" t="s">
        <v>201</v>
      </c>
      <c r="B19" s="23"/>
      <c r="C19" s="169"/>
      <c r="D19" s="169"/>
      <c r="E19" s="170">
        <f>SUM(E16:E18)</f>
        <v>0.6666666666642413</v>
      </c>
      <c r="F19" s="171" t="s">
        <v>202</v>
      </c>
    </row>
    <row r="20" spans="1:6" ht="13.5" thickTop="1">
      <c r="A20" s="269"/>
      <c r="B20" s="41"/>
      <c r="C20" s="669"/>
      <c r="D20" s="669"/>
      <c r="E20" s="669"/>
      <c r="F20" s="269"/>
    </row>
    <row r="21" spans="1:7" ht="12.75">
      <c r="A21" s="269" t="s">
        <v>614</v>
      </c>
      <c r="B21" s="41"/>
      <c r="C21" s="669"/>
      <c r="D21" s="421"/>
      <c r="E21" s="67"/>
      <c r="F21" s="67"/>
      <c r="G21" s="62"/>
    </row>
    <row r="22" spans="1:7" ht="13.5" thickBot="1">
      <c r="A22" s="62"/>
      <c r="B22" s="11"/>
      <c r="C22" s="67"/>
      <c r="D22" s="417"/>
      <c r="E22" s="67"/>
      <c r="F22" s="67"/>
      <c r="G22" s="62"/>
    </row>
    <row r="23" spans="1:7" ht="14.25" thickBot="1" thickTop="1">
      <c r="A23" s="265" t="s">
        <v>203</v>
      </c>
      <c r="B23" s="267" t="s">
        <v>144</v>
      </c>
      <c r="C23" s="333" t="s">
        <v>163</v>
      </c>
      <c r="D23" s="417"/>
      <c r="E23" s="67"/>
      <c r="F23" s="67"/>
      <c r="G23" s="62"/>
    </row>
    <row r="24" spans="1:7" ht="13.5" thickTop="1">
      <c r="A24" s="156" t="s">
        <v>204</v>
      </c>
      <c r="B24" s="157">
        <v>50</v>
      </c>
      <c r="C24" s="158" t="s">
        <v>208</v>
      </c>
      <c r="D24" s="418"/>
      <c r="E24" s="67"/>
      <c r="F24" s="67"/>
      <c r="G24" s="62"/>
    </row>
    <row r="25" spans="1:7" ht="12.75">
      <c r="A25" s="159" t="s">
        <v>205</v>
      </c>
      <c r="B25" s="160">
        <v>6</v>
      </c>
      <c r="C25" s="161" t="s">
        <v>207</v>
      </c>
      <c r="D25" s="418"/>
      <c r="E25" s="67"/>
      <c r="F25" s="67"/>
      <c r="G25" s="62"/>
    </row>
    <row r="26" spans="1:7" ht="12.75">
      <c r="A26" s="159" t="s">
        <v>206</v>
      </c>
      <c r="B26" s="160">
        <v>16</v>
      </c>
      <c r="C26" s="162" t="s">
        <v>202</v>
      </c>
      <c r="D26" s="418"/>
      <c r="E26" s="67"/>
      <c r="F26" s="67"/>
      <c r="G26" s="62"/>
    </row>
    <row r="27" spans="1:7" ht="12.75">
      <c r="A27" s="159" t="s">
        <v>209</v>
      </c>
      <c r="B27" s="160">
        <f>B24*B25*B26</f>
        <v>4800</v>
      </c>
      <c r="C27" s="162" t="s">
        <v>64</v>
      </c>
      <c r="D27" s="418"/>
      <c r="E27" s="67"/>
      <c r="F27" s="67"/>
      <c r="G27" s="62"/>
    </row>
    <row r="28" spans="1:7" ht="12.75">
      <c r="A28" s="159" t="s">
        <v>218</v>
      </c>
      <c r="B28" s="160">
        <v>3286.8</v>
      </c>
      <c r="C28" s="162" t="s">
        <v>64</v>
      </c>
      <c r="D28" s="418"/>
      <c r="E28" s="67"/>
      <c r="F28" s="67"/>
      <c r="G28" s="62"/>
    </row>
    <row r="29" spans="1:7" ht="12.75">
      <c r="A29" s="159" t="s">
        <v>221</v>
      </c>
      <c r="B29" s="179">
        <f>B28/B27</f>
        <v>0.6847500000000001</v>
      </c>
      <c r="C29" s="162"/>
      <c r="D29" s="418"/>
      <c r="E29" s="67"/>
      <c r="F29" s="67"/>
      <c r="G29" s="62"/>
    </row>
    <row r="30" spans="1:7" ht="12.75">
      <c r="A30" s="159" t="s">
        <v>210</v>
      </c>
      <c r="B30" s="160">
        <f>B27+B28</f>
        <v>8086.8</v>
      </c>
      <c r="C30" s="161" t="s">
        <v>64</v>
      </c>
      <c r="D30" s="418"/>
      <c r="E30" s="67"/>
      <c r="F30" s="67"/>
      <c r="G30" s="62"/>
    </row>
    <row r="31" spans="1:7" ht="13.5" thickBot="1">
      <c r="A31" s="163" t="s">
        <v>211</v>
      </c>
      <c r="B31" s="164">
        <v>1465</v>
      </c>
      <c r="C31" s="165"/>
      <c r="D31" s="418"/>
      <c r="E31" s="67"/>
      <c r="F31" s="67"/>
      <c r="G31" s="62"/>
    </row>
    <row r="32" spans="1:7" ht="14.25" thickBot="1" thickTop="1">
      <c r="A32" s="166" t="s">
        <v>212</v>
      </c>
      <c r="B32" s="180">
        <f>B30/B31</f>
        <v>5.5200000000000005</v>
      </c>
      <c r="C32" s="167" t="s">
        <v>214</v>
      </c>
      <c r="D32" s="418"/>
      <c r="E32" s="67"/>
      <c r="F32" s="67"/>
      <c r="G32" s="62"/>
    </row>
    <row r="33" spans="1:7" ht="13.5" thickTop="1">
      <c r="A33" s="62"/>
      <c r="B33" s="910"/>
      <c r="C33" s="418"/>
      <c r="D33" s="418"/>
      <c r="E33" s="67"/>
      <c r="F33" s="67"/>
      <c r="G33" s="62"/>
    </row>
    <row r="34" spans="1:7" ht="12.75">
      <c r="A34" s="269" t="s">
        <v>709</v>
      </c>
      <c r="B34" s="630"/>
      <c r="C34" s="419"/>
      <c r="D34" s="419"/>
      <c r="E34" s="67"/>
      <c r="F34" s="67"/>
      <c r="G34" s="62"/>
    </row>
    <row r="35" spans="1:7" ht="13.5" thickBot="1">
      <c r="A35" s="269"/>
      <c r="B35" s="630"/>
      <c r="C35" s="419"/>
      <c r="D35" s="836"/>
      <c r="E35" s="67"/>
      <c r="F35" s="67"/>
      <c r="G35" s="62"/>
    </row>
    <row r="36" spans="1:7" ht="14.25" thickBot="1" thickTop="1">
      <c r="A36" s="32" t="s">
        <v>595</v>
      </c>
      <c r="B36" s="655" t="s">
        <v>30</v>
      </c>
      <c r="C36" s="656" t="s">
        <v>163</v>
      </c>
      <c r="D36" s="838" t="s">
        <v>224</v>
      </c>
      <c r="E36" s="67"/>
      <c r="F36" s="67"/>
      <c r="G36" s="62"/>
    </row>
    <row r="37" spans="1:7" ht="14.25" thickBot="1" thickTop="1">
      <c r="A37" s="659" t="s">
        <v>647</v>
      </c>
      <c r="B37" s="660"/>
      <c r="C37" s="661"/>
      <c r="D37" s="839"/>
      <c r="E37" s="67"/>
      <c r="F37" s="67"/>
      <c r="G37" s="62"/>
    </row>
    <row r="38" spans="1:7" ht="13.5" thickTop="1">
      <c r="A38" s="18" t="s">
        <v>652</v>
      </c>
      <c r="B38" s="652">
        <v>109</v>
      </c>
      <c r="C38" s="631" t="s">
        <v>64</v>
      </c>
      <c r="D38" s="840">
        <f>B38/$B$75</f>
        <v>0.013480562512954944</v>
      </c>
      <c r="E38" s="67"/>
      <c r="F38" s="67"/>
      <c r="G38" s="62"/>
    </row>
    <row r="39" spans="1:7" ht="12.75">
      <c r="A39" s="18" t="s">
        <v>654</v>
      </c>
      <c r="B39" s="652">
        <v>300</v>
      </c>
      <c r="C39" s="631" t="s">
        <v>64</v>
      </c>
      <c r="D39" s="840">
        <f>B39/$B$75</f>
        <v>0.03710246563198608</v>
      </c>
      <c r="E39" s="67"/>
      <c r="F39" s="67"/>
      <c r="G39" s="62"/>
    </row>
    <row r="40" spans="1:7" ht="12.75">
      <c r="A40" s="155" t="s">
        <v>651</v>
      </c>
      <c r="B40" s="652">
        <v>75</v>
      </c>
      <c r="C40" s="631" t="s">
        <v>64</v>
      </c>
      <c r="D40" s="840">
        <f>B40/$B$75</f>
        <v>0.00927561640799652</v>
      </c>
      <c r="E40" s="67"/>
      <c r="F40" s="67"/>
      <c r="G40" s="62"/>
    </row>
    <row r="41" spans="1:7" ht="12.75">
      <c r="A41" s="18" t="s">
        <v>579</v>
      </c>
      <c r="B41" s="652">
        <v>100</v>
      </c>
      <c r="C41" s="631" t="s">
        <v>64</v>
      </c>
      <c r="D41" s="840">
        <f>B41/$B$75</f>
        <v>0.01236748854399536</v>
      </c>
      <c r="E41" s="67"/>
      <c r="F41" s="67"/>
      <c r="G41" s="62"/>
    </row>
    <row r="42" spans="1:7" ht="13.5" thickBot="1">
      <c r="A42" s="18" t="s">
        <v>653</v>
      </c>
      <c r="B42" s="652">
        <v>16</v>
      </c>
      <c r="C42" s="631" t="s">
        <v>64</v>
      </c>
      <c r="D42" s="840">
        <f>B42/$B$75</f>
        <v>0.001978798167039258</v>
      </c>
      <c r="E42" s="67"/>
      <c r="F42" s="67"/>
      <c r="G42" s="62"/>
    </row>
    <row r="43" spans="1:7" ht="14.25" thickBot="1" thickTop="1">
      <c r="A43" s="76" t="s">
        <v>596</v>
      </c>
      <c r="B43" s="654">
        <f>SUM(B38:B42)</f>
        <v>600</v>
      </c>
      <c r="C43" s="649"/>
      <c r="D43" s="841">
        <f>SUM(D38:D42)</f>
        <v>0.07420493126397217</v>
      </c>
      <c r="E43" s="67"/>
      <c r="F43" s="67"/>
      <c r="G43" s="62"/>
    </row>
    <row r="44" spans="1:7" ht="14.25" thickBot="1" thickTop="1">
      <c r="A44" s="436"/>
      <c r="B44" s="651"/>
      <c r="C44" s="646"/>
      <c r="D44" s="842"/>
      <c r="E44" s="67"/>
      <c r="F44" s="67"/>
      <c r="G44" s="62"/>
    </row>
    <row r="45" spans="1:7" ht="14.25" thickBot="1" thickTop="1">
      <c r="A45" s="659" t="s">
        <v>648</v>
      </c>
      <c r="B45" s="660"/>
      <c r="C45" s="661"/>
      <c r="D45" s="839"/>
      <c r="E45" s="67"/>
      <c r="F45" s="67"/>
      <c r="G45" s="62"/>
    </row>
    <row r="46" spans="1:7" ht="13.5" thickTop="1">
      <c r="A46" s="155" t="s">
        <v>581</v>
      </c>
      <c r="B46" s="652">
        <v>150</v>
      </c>
      <c r="C46" s="631" t="s">
        <v>64</v>
      </c>
      <c r="D46" s="840">
        <f>B46/$B$75</f>
        <v>0.01855123281599304</v>
      </c>
      <c r="E46" s="67"/>
      <c r="F46" s="67"/>
      <c r="G46" s="62"/>
    </row>
    <row r="47" spans="1:7" ht="12.75">
      <c r="A47" s="155" t="s">
        <v>580</v>
      </c>
      <c r="B47" s="652">
        <v>450</v>
      </c>
      <c r="C47" s="631" t="s">
        <v>64</v>
      </c>
      <c r="D47" s="840">
        <f>B47/$B$75</f>
        <v>0.05565369844797913</v>
      </c>
      <c r="E47" s="67"/>
      <c r="F47" s="67"/>
      <c r="G47" s="62"/>
    </row>
    <row r="48" spans="1:7" ht="12.75">
      <c r="A48" s="18" t="s">
        <v>579</v>
      </c>
      <c r="B48" s="652">
        <v>75</v>
      </c>
      <c r="C48" s="631" t="s">
        <v>64</v>
      </c>
      <c r="D48" s="840">
        <f>B48/$B$75</f>
        <v>0.00927561640799652</v>
      </c>
      <c r="E48" s="67"/>
      <c r="F48" s="67"/>
      <c r="G48" s="62"/>
    </row>
    <row r="49" spans="1:7" ht="12.75">
      <c r="A49" s="18" t="s">
        <v>578</v>
      </c>
      <c r="B49" s="652">
        <v>75</v>
      </c>
      <c r="C49" s="631" t="s">
        <v>64</v>
      </c>
      <c r="D49" s="840">
        <f>B49/$B$75</f>
        <v>0.00927561640799652</v>
      </c>
      <c r="E49" s="67"/>
      <c r="F49" s="67"/>
      <c r="G49" s="62"/>
    </row>
    <row r="50" spans="1:7" ht="13.5" thickBot="1">
      <c r="A50" s="18" t="s">
        <v>650</v>
      </c>
      <c r="B50" s="652">
        <v>1950</v>
      </c>
      <c r="C50" s="631" t="s">
        <v>64</v>
      </c>
      <c r="D50" s="840">
        <f>B50/$B$75</f>
        <v>0.24116602660790953</v>
      </c>
      <c r="E50" s="67"/>
      <c r="F50" s="67"/>
      <c r="G50" s="62"/>
    </row>
    <row r="51" spans="1:7" ht="14.25" thickBot="1" thickTop="1">
      <c r="A51" s="76" t="s">
        <v>596</v>
      </c>
      <c r="B51" s="654">
        <f>SUM(B46:B50)</f>
        <v>2700</v>
      </c>
      <c r="C51" s="649"/>
      <c r="D51" s="841">
        <f>SUM(D46:D50)</f>
        <v>0.33392219068787476</v>
      </c>
      <c r="E51" s="67"/>
      <c r="F51" s="67"/>
      <c r="G51" s="62"/>
    </row>
    <row r="52" spans="1:7" ht="14.25" thickBot="1" thickTop="1">
      <c r="A52" s="14"/>
      <c r="B52" s="653"/>
      <c r="C52" s="836"/>
      <c r="D52" s="843"/>
      <c r="E52" s="67"/>
      <c r="F52" s="67"/>
      <c r="G52" s="62"/>
    </row>
    <row r="53" spans="1:7" ht="14.25" thickBot="1" thickTop="1">
      <c r="A53" s="662" t="s">
        <v>606</v>
      </c>
      <c r="B53" s="663"/>
      <c r="C53" s="661"/>
      <c r="D53" s="844"/>
      <c r="E53" s="67"/>
      <c r="F53" s="67"/>
      <c r="G53" s="62"/>
    </row>
    <row r="54" spans="1:7" ht="13.5" thickTop="1">
      <c r="A54" s="650" t="s">
        <v>582</v>
      </c>
      <c r="B54" s="651">
        <v>600</v>
      </c>
      <c r="C54" s="646" t="s">
        <v>64</v>
      </c>
      <c r="D54" s="840">
        <f>B54/$B$75</f>
        <v>0.07420493126397217</v>
      </c>
      <c r="E54" s="67"/>
      <c r="F54" s="67"/>
      <c r="G54" s="62"/>
    </row>
    <row r="55" spans="1:7" ht="12.75">
      <c r="A55" s="18" t="s">
        <v>583</v>
      </c>
      <c r="B55" s="652">
        <v>2700</v>
      </c>
      <c r="C55" s="631" t="s">
        <v>64</v>
      </c>
      <c r="D55" s="840">
        <f>B55/$B$75</f>
        <v>0.33392219068787476</v>
      </c>
      <c r="E55" s="67"/>
      <c r="F55" s="67"/>
      <c r="G55" s="62"/>
    </row>
    <row r="56" spans="1:7" ht="12.75">
      <c r="A56" s="155" t="s">
        <v>584</v>
      </c>
      <c r="B56" s="652">
        <v>150</v>
      </c>
      <c r="C56" s="631" t="s">
        <v>64</v>
      </c>
      <c r="D56" s="840">
        <f>B56/$B$75</f>
        <v>0.01855123281599304</v>
      </c>
      <c r="E56" s="67"/>
      <c r="F56" s="67"/>
      <c r="G56" s="62"/>
    </row>
    <row r="57" spans="1:7" ht="12.75">
      <c r="A57" s="155" t="s">
        <v>585</v>
      </c>
      <c r="B57" s="652">
        <v>75</v>
      </c>
      <c r="C57" s="631" t="s">
        <v>64</v>
      </c>
      <c r="D57" s="840">
        <f>B57/$B$75</f>
        <v>0.00927561640799652</v>
      </c>
      <c r="E57" s="67"/>
      <c r="F57" s="67"/>
      <c r="G57" s="62"/>
    </row>
    <row r="58" spans="1:7" ht="13.5" thickBot="1">
      <c r="A58" s="155" t="s">
        <v>586</v>
      </c>
      <c r="B58" s="652">
        <v>80</v>
      </c>
      <c r="C58" s="835" t="s">
        <v>64</v>
      </c>
      <c r="D58" s="840">
        <f>B58/$B$75</f>
        <v>0.009893990835196289</v>
      </c>
      <c r="E58" s="67"/>
      <c r="F58" s="67"/>
      <c r="G58" s="62"/>
    </row>
    <row r="59" spans="1:7" ht="14.25" thickBot="1" thickTop="1">
      <c r="A59" s="76" t="s">
        <v>596</v>
      </c>
      <c r="B59" s="654">
        <f>SUM(B54:B58)</f>
        <v>3605</v>
      </c>
      <c r="C59" s="649"/>
      <c r="D59" s="841">
        <f>SUM(D54:D58)</f>
        <v>0.4458479620110327</v>
      </c>
      <c r="E59" s="67"/>
      <c r="F59" s="67"/>
      <c r="G59" s="62"/>
    </row>
    <row r="60" spans="1:7" ht="14.25" thickBot="1" thickTop="1">
      <c r="A60" s="22"/>
      <c r="B60" s="654"/>
      <c r="C60" s="645"/>
      <c r="D60" s="841"/>
      <c r="E60" s="67"/>
      <c r="F60" s="67"/>
      <c r="G60" s="62"/>
    </row>
    <row r="61" spans="1:7" ht="14.25" thickBot="1" thickTop="1">
      <c r="A61" s="662" t="s">
        <v>607</v>
      </c>
      <c r="B61" s="663"/>
      <c r="C61" s="661"/>
      <c r="D61" s="844"/>
      <c r="E61" s="67"/>
      <c r="F61" s="67"/>
      <c r="G61" s="62"/>
    </row>
    <row r="62" spans="1:7" ht="13.5" thickTop="1">
      <c r="A62" s="13" t="s">
        <v>587</v>
      </c>
      <c r="B62" s="651">
        <v>350</v>
      </c>
      <c r="C62" s="646" t="s">
        <v>64</v>
      </c>
      <c r="D62" s="840">
        <f aca="true" t="shared" si="0" ref="D62:D67">B62/$B$75</f>
        <v>0.04328620990398376</v>
      </c>
      <c r="E62" s="67"/>
      <c r="F62" s="67"/>
      <c r="G62" s="62"/>
    </row>
    <row r="63" spans="1:7" ht="12.75">
      <c r="A63" s="155" t="s">
        <v>588</v>
      </c>
      <c r="B63" s="652">
        <v>100</v>
      </c>
      <c r="C63" s="631" t="s">
        <v>64</v>
      </c>
      <c r="D63" s="840">
        <f t="shared" si="0"/>
        <v>0.01236748854399536</v>
      </c>
      <c r="E63" s="67"/>
      <c r="F63" s="67"/>
      <c r="G63" s="62"/>
    </row>
    <row r="64" spans="1:7" ht="12.75">
      <c r="A64" s="18" t="s">
        <v>589</v>
      </c>
      <c r="B64" s="652">
        <v>75</v>
      </c>
      <c r="C64" s="631" t="s">
        <v>64</v>
      </c>
      <c r="D64" s="840">
        <f t="shared" si="0"/>
        <v>0.00927561640799652</v>
      </c>
      <c r="E64" s="67"/>
      <c r="F64" s="67"/>
      <c r="G64" s="62"/>
    </row>
    <row r="65" spans="1:7" ht="12.75">
      <c r="A65" s="155" t="s">
        <v>590</v>
      </c>
      <c r="B65" s="652">
        <v>80</v>
      </c>
      <c r="C65" s="631" t="s">
        <v>64</v>
      </c>
      <c r="D65" s="840">
        <f t="shared" si="0"/>
        <v>0.009893990835196289</v>
      </c>
      <c r="E65" s="67"/>
      <c r="F65" s="67"/>
      <c r="G65" s="62"/>
    </row>
    <row r="66" spans="1:7" ht="12.75">
      <c r="A66" s="155" t="s">
        <v>591</v>
      </c>
      <c r="B66" s="652">
        <v>75</v>
      </c>
      <c r="C66" s="631" t="s">
        <v>64</v>
      </c>
      <c r="D66" s="840">
        <f t="shared" si="0"/>
        <v>0.00927561640799652</v>
      </c>
      <c r="E66" s="67"/>
      <c r="F66" s="67"/>
      <c r="G66" s="62"/>
    </row>
    <row r="67" spans="1:7" ht="13.5" thickBot="1">
      <c r="A67" s="424" t="s">
        <v>592</v>
      </c>
      <c r="B67" s="653">
        <v>100</v>
      </c>
      <c r="C67" s="648" t="s">
        <v>64</v>
      </c>
      <c r="D67" s="840">
        <f t="shared" si="0"/>
        <v>0.01236748854399536</v>
      </c>
      <c r="E67" s="67"/>
      <c r="F67" s="67"/>
      <c r="G67" s="62"/>
    </row>
    <row r="68" spans="1:7" ht="14.25" thickBot="1" thickTop="1">
      <c r="A68" s="76" t="s">
        <v>596</v>
      </c>
      <c r="B68" s="654">
        <f>SUM(B62:B67)</f>
        <v>780</v>
      </c>
      <c r="C68" s="649"/>
      <c r="D68" s="841">
        <f>SUM(D62:D67)</f>
        <v>0.09646641064316382</v>
      </c>
      <c r="E68" s="67"/>
      <c r="F68" s="67"/>
      <c r="G68" s="62"/>
    </row>
    <row r="69" spans="1:7" ht="14.25" thickBot="1" thickTop="1">
      <c r="A69" s="22"/>
      <c r="B69" s="654"/>
      <c r="C69" s="645"/>
      <c r="D69" s="841"/>
      <c r="E69" s="67"/>
      <c r="F69" s="67"/>
      <c r="G69" s="62"/>
    </row>
    <row r="70" spans="1:7" ht="14.25" thickBot="1" thickTop="1">
      <c r="A70" s="662" t="s">
        <v>608</v>
      </c>
      <c r="B70" s="663"/>
      <c r="C70" s="661"/>
      <c r="D70" s="844"/>
      <c r="E70" s="67"/>
      <c r="F70" s="67"/>
      <c r="G70" s="62"/>
    </row>
    <row r="71" spans="1:7" ht="13.5" thickTop="1">
      <c r="A71" s="13" t="s">
        <v>593</v>
      </c>
      <c r="B71" s="651">
        <v>225</v>
      </c>
      <c r="C71" s="646" t="s">
        <v>64</v>
      </c>
      <c r="D71" s="840">
        <f>B71/$B$75</f>
        <v>0.027826849223989564</v>
      </c>
      <c r="E71" s="67"/>
      <c r="F71" s="67"/>
      <c r="G71" s="62"/>
    </row>
    <row r="72" spans="1:7" ht="13.5" thickBot="1">
      <c r="A72" s="14" t="s">
        <v>594</v>
      </c>
      <c r="B72" s="653">
        <v>175.716</v>
      </c>
      <c r="C72" s="648" t="s">
        <v>64</v>
      </c>
      <c r="D72" s="840">
        <f>B72/$B$75</f>
        <v>0.02173165616996689</v>
      </c>
      <c r="E72" s="67"/>
      <c r="F72" s="67"/>
      <c r="G72" s="62"/>
    </row>
    <row r="73" spans="1:7" ht="14.25" thickBot="1" thickTop="1">
      <c r="A73" s="166"/>
      <c r="B73" s="654">
        <f>SUM(B71:B72)</f>
        <v>400.716</v>
      </c>
      <c r="C73" s="645"/>
      <c r="D73" s="841">
        <f>SUM(D71:D72)</f>
        <v>0.049558505393956453</v>
      </c>
      <c r="E73" s="67"/>
      <c r="F73" s="67"/>
      <c r="G73" s="62"/>
    </row>
    <row r="74" spans="1:7" ht="14.25" thickBot="1" thickTop="1">
      <c r="A74" s="166"/>
      <c r="B74" s="180"/>
      <c r="C74" s="645"/>
      <c r="D74" s="841"/>
      <c r="E74" s="67"/>
      <c r="F74" s="67"/>
      <c r="G74" s="62"/>
    </row>
    <row r="75" spans="1:7" ht="14.25" thickBot="1" thickTop="1">
      <c r="A75" s="166" t="s">
        <v>30</v>
      </c>
      <c r="B75" s="837">
        <f>B43+B51+B59+B68+B73</f>
        <v>8085.716</v>
      </c>
      <c r="C75" s="645" t="s">
        <v>64</v>
      </c>
      <c r="D75" s="841">
        <f>D43+D51+D59+D68+D73</f>
        <v>1</v>
      </c>
      <c r="E75" s="67"/>
      <c r="F75" s="67"/>
      <c r="G75" s="62"/>
    </row>
    <row r="76" spans="1:7" ht="14.25" thickBot="1" thickTop="1">
      <c r="A76" s="269"/>
      <c r="B76" s="630"/>
      <c r="C76" s="419"/>
      <c r="D76" s="845"/>
      <c r="E76" s="67"/>
      <c r="F76" s="67"/>
      <c r="G76" s="62"/>
    </row>
    <row r="77" spans="1:7" ht="14.25" thickBot="1" thickTop="1">
      <c r="A77" s="32" t="s">
        <v>609</v>
      </c>
      <c r="B77" s="655">
        <f>B75/C86</f>
        <v>5.52176276482993</v>
      </c>
      <c r="C77" s="658"/>
      <c r="D77" s="657"/>
      <c r="E77" s="67"/>
      <c r="F77" s="67"/>
      <c r="G77" s="62"/>
    </row>
    <row r="78" spans="1:7" ht="13.5" thickTop="1">
      <c r="A78" s="269"/>
      <c r="B78" s="630"/>
      <c r="C78" s="419"/>
      <c r="D78" s="419"/>
      <c r="E78" s="67"/>
      <c r="F78" s="67"/>
      <c r="G78" s="62"/>
    </row>
    <row r="79" spans="1:7" ht="13.5" thickBot="1">
      <c r="A79" s="269"/>
      <c r="B79" s="630"/>
      <c r="C79" s="419"/>
      <c r="D79" s="419"/>
      <c r="E79" s="67"/>
      <c r="F79" s="67"/>
      <c r="G79" s="62"/>
    </row>
    <row r="80" spans="1:7" ht="14.25" thickBot="1" thickTop="1">
      <c r="A80" s="632" t="s">
        <v>597</v>
      </c>
      <c r="B80" s="633"/>
      <c r="C80" s="634"/>
      <c r="D80" s="419"/>
      <c r="E80" s="67"/>
      <c r="F80" s="67"/>
      <c r="G80" s="62"/>
    </row>
    <row r="81" spans="1:7" ht="13.5" thickTop="1">
      <c r="A81" s="635" t="s">
        <v>598</v>
      </c>
      <c r="B81" s="636" t="s">
        <v>599</v>
      </c>
      <c r="C81" s="637">
        <v>1872</v>
      </c>
      <c r="D81" s="419"/>
      <c r="E81" s="67"/>
      <c r="F81" s="67"/>
      <c r="G81" s="62"/>
    </row>
    <row r="82" spans="1:7" ht="12.75">
      <c r="A82" s="638" t="s">
        <v>600</v>
      </c>
      <c r="B82" s="639" t="s">
        <v>601</v>
      </c>
      <c r="C82" s="640">
        <v>-187.2</v>
      </c>
      <c r="D82" s="419"/>
      <c r="E82" s="67"/>
      <c r="F82" s="67"/>
      <c r="G82" s="62"/>
    </row>
    <row r="83" spans="1:7" ht="12.75">
      <c r="A83" s="638" t="s">
        <v>602</v>
      </c>
      <c r="B83" s="639" t="s">
        <v>603</v>
      </c>
      <c r="C83" s="640">
        <v>-57.6</v>
      </c>
      <c r="D83" s="419"/>
      <c r="E83" s="67"/>
      <c r="F83" s="67"/>
      <c r="G83" s="62"/>
    </row>
    <row r="84" spans="1:7" ht="12.75">
      <c r="A84" s="638" t="s">
        <v>604</v>
      </c>
      <c r="B84" s="641">
        <v>0.055</v>
      </c>
      <c r="C84" s="640">
        <v>-102.96</v>
      </c>
      <c r="D84" s="419"/>
      <c r="E84" s="67"/>
      <c r="F84" s="67"/>
      <c r="G84" s="62"/>
    </row>
    <row r="85" spans="1:7" ht="12.75">
      <c r="A85" s="638" t="s">
        <v>605</v>
      </c>
      <c r="B85" s="641">
        <v>0.032</v>
      </c>
      <c r="C85" s="640">
        <v>-59.904</v>
      </c>
      <c r="D85" s="419"/>
      <c r="E85" s="67"/>
      <c r="F85" s="67"/>
      <c r="G85" s="62"/>
    </row>
    <row r="86" spans="1:7" ht="13.5" thickBot="1">
      <c r="A86" s="642"/>
      <c r="B86" s="643"/>
      <c r="C86" s="644">
        <v>1464.336</v>
      </c>
      <c r="D86" s="419"/>
      <c r="E86" s="67"/>
      <c r="F86" s="67"/>
      <c r="G86" s="62"/>
    </row>
    <row r="87" spans="1:7" ht="13.5" thickTop="1">
      <c r="A87" s="269"/>
      <c r="B87" s="630"/>
      <c r="C87" s="419"/>
      <c r="D87" s="419"/>
      <c r="E87" s="67"/>
      <c r="F87" s="67"/>
      <c r="G87" s="62"/>
    </row>
    <row r="88" spans="6:7" ht="13.5" thickBot="1">
      <c r="F88" s="67"/>
      <c r="G88" s="62"/>
    </row>
    <row r="89" spans="1:7" ht="14.25" thickBot="1" thickTop="1">
      <c r="A89" s="265" t="s">
        <v>213</v>
      </c>
      <c r="B89" s="267" t="s">
        <v>159</v>
      </c>
      <c r="C89" s="267" t="s">
        <v>378</v>
      </c>
      <c r="D89" s="267" t="s">
        <v>441</v>
      </c>
      <c r="E89" s="268" t="s">
        <v>30</v>
      </c>
      <c r="F89" s="67"/>
      <c r="G89" s="62"/>
    </row>
    <row r="90" spans="1:7" ht="13.5" thickTop="1">
      <c r="A90" s="18" t="s">
        <v>156</v>
      </c>
      <c r="B90" s="21">
        <f>B77-B91-B92</f>
        <v>2.52176276482993</v>
      </c>
      <c r="C90" s="98">
        <f>E6</f>
        <v>38754.54</v>
      </c>
      <c r="D90" s="98">
        <f>B11</f>
        <v>12521.995823063999</v>
      </c>
      <c r="E90" s="57">
        <f>B90*(C90+D90)</f>
        <v>129307.25874807082</v>
      </c>
      <c r="F90" s="67"/>
      <c r="G90" s="62"/>
    </row>
    <row r="91" spans="1:7" ht="12.75">
      <c r="A91" s="18" t="s">
        <v>157</v>
      </c>
      <c r="B91" s="19">
        <v>2</v>
      </c>
      <c r="C91" s="98">
        <f>E7</f>
        <v>40808.04</v>
      </c>
      <c r="D91" s="98">
        <f>B11</f>
        <v>12521.995823063999</v>
      </c>
      <c r="E91" s="57">
        <f>B91*(C91+D91)</f>
        <v>106660.071646128</v>
      </c>
      <c r="F91" s="67"/>
      <c r="G91" s="62"/>
    </row>
    <row r="92" spans="1:7" ht="13.5" thickBot="1">
      <c r="A92" s="14" t="s">
        <v>158</v>
      </c>
      <c r="B92" s="16">
        <v>1</v>
      </c>
      <c r="C92" s="99">
        <f>E8</f>
        <v>42882.63</v>
      </c>
      <c r="D92" s="99">
        <f>B11+B12+B13</f>
        <v>19933.67433064603</v>
      </c>
      <c r="E92" s="60">
        <f>B92*(C92+D92)</f>
        <v>62816.30433064603</v>
      </c>
      <c r="F92" s="67"/>
      <c r="G92" s="62"/>
    </row>
    <row r="93" spans="1:7" ht="14.25" thickBot="1" thickTop="1">
      <c r="A93" s="46" t="s">
        <v>160</v>
      </c>
      <c r="B93" s="172"/>
      <c r="C93" s="172"/>
      <c r="D93" s="172"/>
      <c r="E93" s="59">
        <f>SUM(E90:E92)</f>
        <v>298783.63472484483</v>
      </c>
      <c r="F93" s="67"/>
      <c r="G93" s="62"/>
    </row>
    <row r="94" spans="1:7" ht="14.25" thickBot="1" thickTop="1">
      <c r="A94" s="41"/>
      <c r="B94" s="41"/>
      <c r="C94" s="41"/>
      <c r="D94" s="41"/>
      <c r="E94" s="234"/>
      <c r="F94" s="67"/>
      <c r="G94" s="62"/>
    </row>
    <row r="95" spans="1:7" ht="14.25" thickBot="1" thickTop="1">
      <c r="A95" s="32" t="s">
        <v>442</v>
      </c>
      <c r="B95" s="34"/>
      <c r="C95" s="168"/>
      <c r="D95" s="41"/>
      <c r="E95" s="234"/>
      <c r="F95" s="67"/>
      <c r="G95" s="62"/>
    </row>
    <row r="96" spans="1:7" ht="13.5" thickTop="1">
      <c r="A96" s="650" t="s">
        <v>647</v>
      </c>
      <c r="B96" s="666">
        <f>D43</f>
        <v>0.07420493126397217</v>
      </c>
      <c r="C96" s="846">
        <f>$E$93*B96</f>
        <v>22171.219077556878</v>
      </c>
      <c r="D96" s="41"/>
      <c r="E96" s="234"/>
      <c r="F96" s="67"/>
      <c r="G96" s="62"/>
    </row>
    <row r="97" spans="1:7" ht="12.75">
      <c r="A97" s="664" t="s">
        <v>649</v>
      </c>
      <c r="B97" s="667">
        <f>D51</f>
        <v>0.33392219068787476</v>
      </c>
      <c r="C97" s="37">
        <f>$E$93*B97</f>
        <v>99770.48584900596</v>
      </c>
      <c r="D97" s="41"/>
      <c r="E97" s="234"/>
      <c r="F97" s="67"/>
      <c r="G97" s="62"/>
    </row>
    <row r="98" spans="1:7" ht="12.75">
      <c r="A98" s="664" t="s">
        <v>606</v>
      </c>
      <c r="B98" s="667">
        <f>D59</f>
        <v>0.4458479620110327</v>
      </c>
      <c r="C98" s="37">
        <f>$E$93*B98</f>
        <v>133212.0746243209</v>
      </c>
      <c r="D98" s="41"/>
      <c r="E98" s="234"/>
      <c r="F98" s="67"/>
      <c r="G98" s="62"/>
    </row>
    <row r="99" spans="1:7" ht="12.75">
      <c r="A99" s="75" t="s">
        <v>610</v>
      </c>
      <c r="B99" s="667">
        <f>D68</f>
        <v>0.09646641064316382</v>
      </c>
      <c r="C99" s="37">
        <f>$E$93*B99</f>
        <v>28822.58480082394</v>
      </c>
      <c r="D99" s="41"/>
      <c r="E99" s="234"/>
      <c r="F99" s="67"/>
      <c r="G99" s="62"/>
    </row>
    <row r="100" spans="1:7" ht="13.5" thickBot="1">
      <c r="A100" s="14" t="s">
        <v>608</v>
      </c>
      <c r="B100" s="668">
        <f>D73</f>
        <v>0.049558505393956453</v>
      </c>
      <c r="C100" s="95">
        <f>$E$93*B100</f>
        <v>14807.270373137137</v>
      </c>
      <c r="D100" s="41"/>
      <c r="E100" s="234"/>
      <c r="F100" s="67"/>
      <c r="G100" s="62"/>
    </row>
    <row r="101" spans="1:7" ht="13.5" thickTop="1">
      <c r="A101" s="41"/>
      <c r="B101" s="665"/>
      <c r="C101" s="234">
        <f>SUM(C96:C100)</f>
        <v>298783.63472484483</v>
      </c>
      <c r="D101" s="41"/>
      <c r="E101" s="234"/>
      <c r="F101" s="67"/>
      <c r="G101" s="62"/>
    </row>
    <row r="102" spans="6:7" ht="13.5" thickBot="1">
      <c r="F102" s="67"/>
      <c r="G102" s="62"/>
    </row>
    <row r="103" spans="1:7" ht="14.25" thickBot="1" thickTop="1">
      <c r="A103" s="265" t="s">
        <v>611</v>
      </c>
      <c r="B103" s="267" t="s">
        <v>224</v>
      </c>
      <c r="C103" s="268" t="s">
        <v>301</v>
      </c>
      <c r="D103" s="416"/>
      <c r="F103" s="67"/>
      <c r="G103" s="62"/>
    </row>
    <row r="104" spans="1:7" ht="13.5" thickTop="1">
      <c r="A104" s="423" t="s">
        <v>233</v>
      </c>
      <c r="B104" s="430">
        <f>Oppervlaktes!E8</f>
        <v>0.13306889719019005</v>
      </c>
      <c r="C104" s="57">
        <f>$C$96*B104</f>
        <v>2950.2996720125966</v>
      </c>
      <c r="D104" s="416"/>
      <c r="E104" s="210"/>
      <c r="F104" s="67"/>
      <c r="G104" s="62"/>
    </row>
    <row r="105" spans="1:7" ht="12.75">
      <c r="A105" s="193" t="s">
        <v>234</v>
      </c>
      <c r="B105" s="431">
        <f>Oppervlaktes!E9</f>
        <v>0.2697109631313952</v>
      </c>
      <c r="C105" s="57">
        <f>$C$96*B105</f>
        <v>5979.820851205029</v>
      </c>
      <c r="D105" s="416"/>
      <c r="E105" s="210"/>
      <c r="F105" s="67"/>
      <c r="G105" s="62"/>
    </row>
    <row r="106" spans="1:7" ht="12.75">
      <c r="A106" s="193" t="s">
        <v>235</v>
      </c>
      <c r="B106" s="431">
        <f>Oppervlaktes!E10</f>
        <v>0.11224693844404744</v>
      </c>
      <c r="C106" s="57">
        <f aca="true" t="shared" si="1" ref="C106:C112">$C$96*B106</f>
        <v>2488.651463028017</v>
      </c>
      <c r="D106" s="416"/>
      <c r="E106" s="210"/>
      <c r="F106" s="67"/>
      <c r="G106" s="62"/>
    </row>
    <row r="107" spans="1:7" ht="12.75">
      <c r="A107" s="18" t="s">
        <v>88</v>
      </c>
      <c r="B107" s="429">
        <f>Oppervlaktes!E11</f>
        <v>0.14178983271073578</v>
      </c>
      <c r="C107" s="57">
        <f t="shared" si="1"/>
        <v>3143.653443999863</v>
      </c>
      <c r="D107" s="200"/>
      <c r="E107" s="210"/>
      <c r="F107" s="67"/>
      <c r="G107" s="62"/>
    </row>
    <row r="108" spans="1:7" ht="12.75">
      <c r="A108" s="18" t="s">
        <v>694</v>
      </c>
      <c r="B108" s="429">
        <f>Oppervlaktes!E13</f>
        <v>0.011369173298684426</v>
      </c>
      <c r="C108" s="57">
        <f t="shared" si="1"/>
        <v>252.0684319358424</v>
      </c>
      <c r="D108" s="200"/>
      <c r="E108" s="210"/>
      <c r="F108" s="67"/>
      <c r="G108" s="62"/>
    </row>
    <row r="109" spans="1:7" ht="12.75">
      <c r="A109" s="18" t="s">
        <v>72</v>
      </c>
      <c r="B109" s="429">
        <f>Oppervlaktes!E14</f>
        <v>0.030371934383628396</v>
      </c>
      <c r="C109" s="57">
        <f t="shared" si="1"/>
        <v>673.3828110286076</v>
      </c>
      <c r="D109" s="200"/>
      <c r="E109" s="210"/>
      <c r="F109" s="67"/>
      <c r="G109" s="62"/>
    </row>
    <row r="110" spans="1:7" ht="12.75">
      <c r="A110" s="18" t="s">
        <v>73</v>
      </c>
      <c r="B110" s="429">
        <f>Oppervlaktes!E15</f>
        <v>0.09257755400357319</v>
      </c>
      <c r="C110" s="57">
        <f t="shared" si="1"/>
        <v>2052.557231477574</v>
      </c>
      <c r="D110" s="200"/>
      <c r="E110" s="210"/>
      <c r="F110" s="67"/>
      <c r="G110" s="62"/>
    </row>
    <row r="111" spans="1:7" ht="12.75">
      <c r="A111" s="18" t="s">
        <v>275</v>
      </c>
      <c r="B111" s="429">
        <f>Oppervlaktes!E16</f>
        <v>0.01250609062855287</v>
      </c>
      <c r="C111" s="57">
        <f t="shared" si="1"/>
        <v>277.2752751294267</v>
      </c>
      <c r="D111" s="200"/>
      <c r="E111" s="210"/>
      <c r="F111" s="67"/>
      <c r="G111" s="62"/>
    </row>
    <row r="112" spans="1:7" ht="12.75">
      <c r="A112" s="155" t="s">
        <v>379</v>
      </c>
      <c r="B112" s="241">
        <f>Oppervlaktes!E19+Oppervlaktes!E17</f>
        <v>0.19635861620919284</v>
      </c>
      <c r="C112" s="57">
        <f t="shared" si="1"/>
        <v>4353.509897739926</v>
      </c>
      <c r="D112" s="200"/>
      <c r="E112" s="210"/>
      <c r="F112" s="67"/>
      <c r="G112" s="62"/>
    </row>
    <row r="113" spans="1:7" ht="13.5" thickBot="1">
      <c r="A113" s="424" t="s">
        <v>612</v>
      </c>
      <c r="B113" s="242"/>
      <c r="C113" s="60">
        <f>C97+C98+C99+C100</f>
        <v>276612.4156472879</v>
      </c>
      <c r="D113" s="200"/>
      <c r="E113" s="210"/>
      <c r="F113" s="67"/>
      <c r="G113" s="62"/>
    </row>
    <row r="114" spans="1:7" ht="14.25" thickBot="1" thickTop="1">
      <c r="A114" s="274" t="s">
        <v>30</v>
      </c>
      <c r="B114" s="847">
        <f>SUM(B104:B113)</f>
        <v>1.0000000000000002</v>
      </c>
      <c r="C114" s="433">
        <f>SUM(C104:C113)</f>
        <v>298783.6347248448</v>
      </c>
      <c r="E114" s="210"/>
      <c r="F114" s="67"/>
      <c r="G114" s="62"/>
    </row>
    <row r="115" spans="5:7" ht="13.5" thickTop="1">
      <c r="E115" s="210"/>
      <c r="F115" s="67"/>
      <c r="G115" s="62"/>
    </row>
    <row r="116" spans="6:7" ht="12.75">
      <c r="F116" s="67"/>
      <c r="G116" s="62"/>
    </row>
    <row r="117" spans="1:7" ht="12.75">
      <c r="A117" s="208"/>
      <c r="F117" s="67"/>
      <c r="G117" s="62"/>
    </row>
    <row r="118" spans="1:7" ht="12.75">
      <c r="A118" s="208"/>
      <c r="F118" s="67"/>
      <c r="G118" s="62"/>
    </row>
    <row r="119" spans="1:7" ht="12.75">
      <c r="A119" s="208"/>
      <c r="F119" s="67"/>
      <c r="G119" s="62"/>
    </row>
    <row r="120" spans="1:7" ht="12.75">
      <c r="A120" s="208"/>
      <c r="F120" s="67"/>
      <c r="G120" s="62"/>
    </row>
    <row r="121" spans="1:7" ht="12.75">
      <c r="A121" s="208"/>
      <c r="F121" s="67"/>
      <c r="G121" s="62"/>
    </row>
    <row r="122" spans="1:7" ht="12.75">
      <c r="A122" s="208"/>
      <c r="F122" s="67"/>
      <c r="G122" s="62"/>
    </row>
    <row r="123" spans="1:7" ht="12.75">
      <c r="A123" s="208"/>
      <c r="F123" s="67"/>
      <c r="G123" s="62"/>
    </row>
    <row r="124" spans="1:7" ht="12.75">
      <c r="A124" s="208"/>
      <c r="F124" s="67"/>
      <c r="G124" s="62"/>
    </row>
    <row r="125" spans="1:7" ht="12.75">
      <c r="A125" s="208"/>
      <c r="F125" s="67"/>
      <c r="G125" s="62"/>
    </row>
    <row r="126" spans="1:7" ht="12.75">
      <c r="A126" s="208"/>
      <c r="F126" s="67"/>
      <c r="G126" s="62"/>
    </row>
    <row r="127" spans="6:7" ht="12.75">
      <c r="F127" s="67"/>
      <c r="G127" s="62"/>
    </row>
    <row r="128" spans="6:7" ht="12.75">
      <c r="F128" s="67"/>
      <c r="G128" s="62"/>
    </row>
    <row r="139" ht="12.75">
      <c r="F139" s="1"/>
    </row>
  </sheetData>
  <sheetProtection/>
  <printOptions/>
  <pageMargins left="0.75" right="0.75" top="0.44" bottom="0.51" header="0.26" footer="0.36"/>
  <pageSetup fitToHeight="1" fitToWidth="1" horizontalDpi="300" verticalDpi="300" orientation="portrait" paperSize="9" scale="47" r:id="rId3"/>
  <headerFooter alignWithMargins="0">
    <oddFooter>&amp;LConceptversie - 20 juni 2007 (Alleen te gebruiken voor interne doeleinden)&amp;RTabblad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J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5.421875" style="0" customWidth="1"/>
    <col min="2" max="2" width="5.57421875" style="0" bestFit="1" customWidth="1"/>
    <col min="3" max="3" width="13.00390625" style="0" customWidth="1"/>
    <col min="4" max="4" width="9.28125" style="0" bestFit="1" customWidth="1"/>
    <col min="5" max="5" width="10.7109375" style="0" bestFit="1" customWidth="1"/>
    <col min="6" max="6" width="11.140625" style="0" customWidth="1"/>
    <col min="7" max="7" width="12.00390625" style="0" bestFit="1" customWidth="1"/>
    <col min="8" max="8" width="9.28125" style="0" bestFit="1" customWidth="1"/>
    <col min="9" max="9" width="11.00390625" style="0" customWidth="1"/>
    <col min="10" max="10" width="14.28125" style="0" customWidth="1"/>
  </cols>
  <sheetData>
    <row r="1" spans="1:9" ht="20.25">
      <c r="A1" s="4" t="s">
        <v>318</v>
      </c>
      <c r="G1" s="201"/>
      <c r="I1" s="246" t="s">
        <v>84</v>
      </c>
    </row>
    <row r="2" spans="1:9" ht="13.5" customHeight="1">
      <c r="A2" s="4"/>
      <c r="I2" s="246" t="s">
        <v>355</v>
      </c>
    </row>
    <row r="3" ht="13.5" thickBot="1">
      <c r="A3" s="11"/>
    </row>
    <row r="4" spans="1:10" ht="13.5" thickTop="1">
      <c r="A4" s="250" t="s">
        <v>51</v>
      </c>
      <c r="B4" s="251" t="s">
        <v>77</v>
      </c>
      <c r="C4" s="252" t="s">
        <v>93</v>
      </c>
      <c r="D4" s="253" t="s">
        <v>30</v>
      </c>
      <c r="E4" s="254" t="s">
        <v>249</v>
      </c>
      <c r="F4" s="255" t="s">
        <v>317</v>
      </c>
      <c r="G4" s="256" t="s">
        <v>253</v>
      </c>
      <c r="H4" s="256" t="s">
        <v>314</v>
      </c>
      <c r="I4" s="255" t="s">
        <v>317</v>
      </c>
      <c r="J4" s="255" t="s">
        <v>252</v>
      </c>
    </row>
    <row r="5" spans="1:10" ht="13.5" thickBot="1">
      <c r="A5" s="257"/>
      <c r="B5" s="258"/>
      <c r="C5" s="259"/>
      <c r="D5" s="260"/>
      <c r="E5" s="261"/>
      <c r="F5" s="262" t="s">
        <v>251</v>
      </c>
      <c r="G5" s="263" t="s">
        <v>316</v>
      </c>
      <c r="H5" s="263" t="s">
        <v>315</v>
      </c>
      <c r="I5" s="262" t="s">
        <v>251</v>
      </c>
      <c r="J5" s="264" t="s">
        <v>248</v>
      </c>
    </row>
    <row r="6" spans="1:10" ht="13.5" thickTop="1">
      <c r="A6" s="18" t="s">
        <v>69</v>
      </c>
      <c r="B6" s="15">
        <f>Oppervlaktes!B8</f>
        <v>765.7057943925233</v>
      </c>
      <c r="C6" s="79">
        <f>$D$28</f>
        <v>8.486226997572928</v>
      </c>
      <c r="D6" s="77">
        <f>B6*C6</f>
        <v>6497.953184571857</v>
      </c>
      <c r="E6" s="195">
        <f>D6</f>
        <v>6497.953184571857</v>
      </c>
      <c r="F6" s="203">
        <f>Oppervlaktes!E8*D18</f>
        <v>1370.2365506930037</v>
      </c>
      <c r="G6" s="439">
        <f>SUM(E6:F6)</f>
        <v>7868.18973526486</v>
      </c>
      <c r="H6" s="8"/>
      <c r="I6" s="10"/>
      <c r="J6" s="10"/>
    </row>
    <row r="7" spans="1:10" ht="12.75">
      <c r="A7" s="18" t="s">
        <v>70</v>
      </c>
      <c r="B7" s="19">
        <f>Oppervlaktes!B9</f>
        <v>1551.972336448598</v>
      </c>
      <c r="C7" s="85">
        <f>$D$28</f>
        <v>8.486226997572928</v>
      </c>
      <c r="D7" s="57">
        <f aca="true" t="shared" si="0" ref="D7:D18">B7*C7</f>
        <v>13170.389541056427</v>
      </c>
      <c r="E7" s="196">
        <f>D7</f>
        <v>13170.389541056427</v>
      </c>
      <c r="F7" s="204">
        <f>Oppervlaktes!E9*D18</f>
        <v>2777.2667212913198</v>
      </c>
      <c r="G7" s="440">
        <f>SUM(E7:F7)</f>
        <v>15947.656262347748</v>
      </c>
      <c r="H7" s="27"/>
      <c r="I7" s="5"/>
      <c r="J7" s="5"/>
    </row>
    <row r="8" spans="1:10" ht="12.75">
      <c r="A8" s="18" t="s">
        <v>71</v>
      </c>
      <c r="B8" s="19">
        <f>Oppervlaktes!B10</f>
        <v>645.8919626168224</v>
      </c>
      <c r="C8" s="85">
        <f>$D$28</f>
        <v>8.486226997572928</v>
      </c>
      <c r="D8" s="57">
        <f t="shared" si="0"/>
        <v>5481.185810674242</v>
      </c>
      <c r="E8" s="196">
        <f>D8</f>
        <v>5481.185810674242</v>
      </c>
      <c r="F8" s="204">
        <f>Oppervlaktes!E10*D18</f>
        <v>1155.828754931322</v>
      </c>
      <c r="G8" s="440">
        <f>SUM(E8:F8)</f>
        <v>6637.014565605564</v>
      </c>
      <c r="H8" s="27"/>
      <c r="I8" s="5"/>
      <c r="J8" s="5"/>
    </row>
    <row r="9" spans="1:10" ht="12.75">
      <c r="A9" s="18" t="s">
        <v>88</v>
      </c>
      <c r="B9" s="19">
        <f>Oppervlaktes!B11</f>
        <v>815.8878504672897</v>
      </c>
      <c r="C9" s="85">
        <v>12</v>
      </c>
      <c r="D9" s="57">
        <f t="shared" si="0"/>
        <v>9790.654205607476</v>
      </c>
      <c r="E9" s="196"/>
      <c r="F9" s="204"/>
      <c r="G9" s="204"/>
      <c r="H9" s="57">
        <f>D9</f>
        <v>9790.654205607476</v>
      </c>
      <c r="I9" s="207">
        <f>Oppervlaktes!E11*D18</f>
        <v>1460.0377353335389</v>
      </c>
      <c r="J9" s="441">
        <f>SUM(H9:I9)</f>
        <v>11250.691940941015</v>
      </c>
    </row>
    <row r="10" spans="1:10" ht="12.75">
      <c r="A10" s="18" t="s">
        <v>694</v>
      </c>
      <c r="B10" s="223">
        <f>Oppervlaktes!B13</f>
        <v>65.42056074766354</v>
      </c>
      <c r="C10" s="85">
        <v>10.19</v>
      </c>
      <c r="D10" s="57">
        <f t="shared" si="0"/>
        <v>666.6355140186914</v>
      </c>
      <c r="E10" s="193"/>
      <c r="F10" s="5"/>
      <c r="G10" s="5"/>
      <c r="H10" s="57">
        <f>D10</f>
        <v>666.6355140186914</v>
      </c>
      <c r="I10" s="207">
        <f>Oppervlaktes!E13*D18</f>
        <v>117.07060878963084</v>
      </c>
      <c r="J10" s="441">
        <f>SUM(H10:I10)</f>
        <v>783.7061228083222</v>
      </c>
    </row>
    <row r="11" spans="1:10" ht="12.75">
      <c r="A11" s="18" t="s">
        <v>72</v>
      </c>
      <c r="B11" s="19">
        <f>Oppervlaktes!B14</f>
        <v>174.7663551401869</v>
      </c>
      <c r="C11" s="85">
        <v>10.19</v>
      </c>
      <c r="D11" s="57">
        <f t="shared" si="0"/>
        <v>1780.8691588785045</v>
      </c>
      <c r="E11" s="193"/>
      <c r="F11" s="5"/>
      <c r="G11" s="5"/>
      <c r="H11" s="57">
        <f>D11</f>
        <v>1780.8691588785045</v>
      </c>
      <c r="I11" s="207">
        <f>Oppervlaktes!E14*D18</f>
        <v>312.7457691951567</v>
      </c>
      <c r="J11" s="441">
        <f>SUM(H11:I11)</f>
        <v>2093.6149280736613</v>
      </c>
    </row>
    <row r="12" spans="1:10" ht="12.75">
      <c r="A12" s="18" t="s">
        <v>275</v>
      </c>
      <c r="B12" s="223">
        <f>Oppervlaktes!B16</f>
        <v>71.96261682242991</v>
      </c>
      <c r="C12" s="85">
        <v>10.19</v>
      </c>
      <c r="D12" s="57">
        <f t="shared" si="0"/>
        <v>733.2990654205607</v>
      </c>
      <c r="E12" s="193"/>
      <c r="F12" s="5"/>
      <c r="G12" s="5"/>
      <c r="H12" s="57">
        <f>D12</f>
        <v>733.2990654205607</v>
      </c>
      <c r="I12" s="207">
        <f>Oppervlaktes!E16*D18</f>
        <v>128.77766966859394</v>
      </c>
      <c r="J12" s="441">
        <f>H12+I12</f>
        <v>862.0767350891547</v>
      </c>
    </row>
    <row r="13" spans="1:10" ht="12.75">
      <c r="A13" s="18" t="s">
        <v>73</v>
      </c>
      <c r="B13" s="19">
        <f>Oppervlaktes!B15</f>
        <v>532.7102803738318</v>
      </c>
      <c r="C13" s="85">
        <v>14</v>
      </c>
      <c r="D13" s="57">
        <f t="shared" si="0"/>
        <v>7457.943925233645</v>
      </c>
      <c r="E13" s="193"/>
      <c r="F13" s="5"/>
      <c r="G13" s="5"/>
      <c r="H13" s="57">
        <f>D13</f>
        <v>7457.943925233645</v>
      </c>
      <c r="I13" s="207">
        <f>Oppervlaktes!E15*D18</f>
        <v>953.2892430012797</v>
      </c>
      <c r="J13" s="441">
        <f>SUM(H13:I13)</f>
        <v>8411.233168234925</v>
      </c>
    </row>
    <row r="14" spans="1:10" ht="12.75">
      <c r="A14" s="18" t="s">
        <v>75</v>
      </c>
      <c r="B14" s="223">
        <f>Oppervlaktes!B17</f>
        <v>73.83177570093457</v>
      </c>
      <c r="C14" s="85">
        <v>14</v>
      </c>
      <c r="D14" s="57">
        <f t="shared" si="0"/>
        <v>1033.644859813084</v>
      </c>
      <c r="E14" s="196">
        <f>D14</f>
        <v>1033.644859813084</v>
      </c>
      <c r="F14" s="204">
        <f>Oppervlaktes!E17*D18</f>
        <v>132.1225442054405</v>
      </c>
      <c r="G14" s="441">
        <f>SUM(E14:F14)</f>
        <v>1165.7674040185245</v>
      </c>
      <c r="H14" s="27"/>
      <c r="I14" s="5"/>
      <c r="J14" s="5"/>
    </row>
    <row r="15" spans="1:10" ht="12.75">
      <c r="A15" s="18" t="s">
        <v>613</v>
      </c>
      <c r="B15" s="19">
        <f>Oppervlaktes!B18</f>
        <v>285.9813084112149</v>
      </c>
      <c r="C15" s="85">
        <v>14</v>
      </c>
      <c r="D15" s="57">
        <f t="shared" si="0"/>
        <v>4003.7383177570086</v>
      </c>
      <c r="E15" s="196">
        <f>D15</f>
        <v>4003.7383177570086</v>
      </c>
      <c r="F15" s="204">
        <f>Oppervlaktes!E18*D18</f>
        <v>0</v>
      </c>
      <c r="G15" s="440">
        <f>SUM(E15:F15)</f>
        <v>4003.7383177570086</v>
      </c>
      <c r="H15" s="27"/>
      <c r="I15" s="5"/>
      <c r="J15" s="5"/>
    </row>
    <row r="16" spans="1:10" ht="12.75">
      <c r="A16" s="18" t="s">
        <v>76</v>
      </c>
      <c r="B16" s="19">
        <f>Oppervlaktes!B19</f>
        <v>1056.056074766355</v>
      </c>
      <c r="C16" s="85">
        <v>14</v>
      </c>
      <c r="D16" s="57">
        <f t="shared" si="0"/>
        <v>14784.785046728972</v>
      </c>
      <c r="E16" s="196">
        <f>D16</f>
        <v>14784.785046728972</v>
      </c>
      <c r="F16" s="204">
        <f>Oppervlaktes!E19*D18</f>
        <v>1889.820664572958</v>
      </c>
      <c r="G16" s="440">
        <f>SUM(E16:F16)</f>
        <v>16674.60571130193</v>
      </c>
      <c r="H16" s="27"/>
      <c r="I16" s="5"/>
      <c r="J16" s="5"/>
    </row>
    <row r="17" spans="1:10" ht="12.75">
      <c r="A17" s="18" t="s">
        <v>90</v>
      </c>
      <c r="B17" s="19">
        <f>Oppervlaktes!B21</f>
        <v>225.23364485981307</v>
      </c>
      <c r="C17" s="85">
        <v>0</v>
      </c>
      <c r="D17" s="57">
        <f t="shared" si="0"/>
        <v>0</v>
      </c>
      <c r="E17" s="193"/>
      <c r="F17" s="5"/>
      <c r="G17" s="27"/>
      <c r="H17" s="27"/>
      <c r="I17" s="5"/>
      <c r="J17" s="5"/>
    </row>
    <row r="18" spans="1:10" ht="13.5" thickBot="1">
      <c r="A18" s="14" t="s">
        <v>91</v>
      </c>
      <c r="B18" s="16">
        <f>Oppervlaktes!B22</f>
        <v>735.5140186915887</v>
      </c>
      <c r="C18" s="80">
        <v>14</v>
      </c>
      <c r="D18" s="60">
        <f t="shared" si="0"/>
        <v>10297.196261682242</v>
      </c>
      <c r="E18" s="197"/>
      <c r="F18" s="205"/>
      <c r="G18" s="60"/>
      <c r="H18" s="9"/>
      <c r="I18" s="6"/>
      <c r="J18" s="6"/>
    </row>
    <row r="19" spans="1:10" ht="14.25" thickBot="1" thickTop="1">
      <c r="A19" s="28" t="s">
        <v>81</v>
      </c>
      <c r="B19" s="40">
        <f>SUM(B6:B18)</f>
        <v>7000.934579439252</v>
      </c>
      <c r="C19" s="81"/>
      <c r="D19" s="29"/>
      <c r="E19" s="198"/>
      <c r="F19" s="63"/>
      <c r="G19" s="29"/>
      <c r="H19" s="29"/>
      <c r="I19" s="63"/>
      <c r="J19" s="63"/>
    </row>
    <row r="20" spans="1:10" ht="14.25" thickBot="1" thickTop="1">
      <c r="A20" s="166" t="s">
        <v>196</v>
      </c>
      <c r="B20" s="40"/>
      <c r="C20" s="81"/>
      <c r="D20" s="38">
        <f>SUM(D6:D19)</f>
        <v>75698.29489144271</v>
      </c>
      <c r="E20" s="202">
        <f>SUM(E6:E19)</f>
        <v>44971.69676060159</v>
      </c>
      <c r="F20" s="206">
        <f>SUM(F6:F19)</f>
        <v>7325.275235694044</v>
      </c>
      <c r="G20" s="38">
        <f>SUM(E20:F20)</f>
        <v>52296.97199629563</v>
      </c>
      <c r="H20" s="199">
        <f>SUM(H6:H19)</f>
        <v>20429.40186915888</v>
      </c>
      <c r="I20" s="206">
        <f>SUM(I9:I19)</f>
        <v>2971.9210259882</v>
      </c>
      <c r="J20" s="206">
        <f>SUM(J9:J19)</f>
        <v>23401.322895147077</v>
      </c>
    </row>
    <row r="21" spans="1:10" ht="13.5" thickTop="1">
      <c r="A21" s="269"/>
      <c r="B21" s="11"/>
      <c r="C21" s="270"/>
      <c r="D21" s="234"/>
      <c r="E21" s="234"/>
      <c r="F21" s="234"/>
      <c r="G21" s="234"/>
      <c r="H21" s="271"/>
      <c r="I21" s="234"/>
      <c r="J21" s="234"/>
    </row>
    <row r="22" spans="1:10" ht="12.75">
      <c r="A22" s="269" t="s">
        <v>319</v>
      </c>
      <c r="B22" s="11"/>
      <c r="C22" s="270"/>
      <c r="D22" s="234"/>
      <c r="E22" s="234"/>
      <c r="F22" s="234"/>
      <c r="G22" s="234"/>
      <c r="H22" s="271"/>
      <c r="I22" s="234"/>
      <c r="J22" s="234"/>
    </row>
    <row r="23" ht="13.5" thickBot="1">
      <c r="A23" s="62"/>
    </row>
    <row r="24" spans="1:7" ht="14.25" thickBot="1" thickTop="1">
      <c r="A24" s="265" t="s">
        <v>85</v>
      </c>
      <c r="B24" s="266"/>
      <c r="C24" s="267" t="s">
        <v>86</v>
      </c>
      <c r="D24" s="268" t="s">
        <v>83</v>
      </c>
      <c r="G24" s="194"/>
    </row>
    <row r="25" spans="1:4" ht="13.5" thickTop="1">
      <c r="A25" s="13" t="s">
        <v>69</v>
      </c>
      <c r="B25" s="15">
        <f>B6</f>
        <v>765.7057943925233</v>
      </c>
      <c r="C25" s="82">
        <f>('14'!D18+'14'!D19+'14'!D20/(1+'Exploitatie MFC'!B13))*(1+'Exploitatie MFC'!B12)</f>
        <v>6935.683033109245</v>
      </c>
      <c r="D25" s="8"/>
    </row>
    <row r="26" spans="1:4" ht="12.75">
      <c r="A26" s="18" t="s">
        <v>70</v>
      </c>
      <c r="B26" s="19">
        <f>B7</f>
        <v>1551.972336448598</v>
      </c>
      <c r="C26" s="83">
        <f>('15'!D17+'15'!D18+'15'!D19/(1+'Exploitatie MFC'!B13))*(1+'Exploitatie MFC'!B12)</f>
        <v>12146.658357478993</v>
      </c>
      <c r="D26" s="27"/>
    </row>
    <row r="27" spans="1:4" ht="13.5" thickBot="1">
      <c r="A27" s="14" t="s">
        <v>71</v>
      </c>
      <c r="B27" s="16">
        <f>B8</f>
        <v>645.8919626168224</v>
      </c>
      <c r="C27" s="84">
        <f>('16'!D17+'16'!D18+'16'!D19/(1+'Exploitatie MFC'!B13))*(1+'Exploitatie MFC'!B12)</f>
        <v>6067.187145714286</v>
      </c>
      <c r="D27" s="9"/>
    </row>
    <row r="28" spans="1:4" ht="14.25" thickBot="1" thickTop="1">
      <c r="A28" s="166" t="s">
        <v>87</v>
      </c>
      <c r="B28" s="23">
        <f>SUM(B25:B27)</f>
        <v>2963.5700934579436</v>
      </c>
      <c r="C28" s="220">
        <f>SUM(C25:C27)</f>
        <v>25149.528536302525</v>
      </c>
      <c r="D28" s="249">
        <f>C28/B28</f>
        <v>8.486226997572928</v>
      </c>
    </row>
    <row r="29" ht="14.25" thickBot="1" thickTop="1"/>
    <row r="30" spans="1:3" ht="14.25" thickBot="1" thickTop="1">
      <c r="A30" s="484" t="s">
        <v>395</v>
      </c>
      <c r="B30" s="267"/>
      <c r="C30" s="292" t="s">
        <v>356</v>
      </c>
    </row>
    <row r="31" spans="1:7" ht="13.5" thickTop="1">
      <c r="A31" s="13" t="s">
        <v>714</v>
      </c>
      <c r="B31" s="459"/>
      <c r="C31" s="57">
        <f>G6+((Oppervlaktes!H8*'Exploitatie MFC'!B32)*2!$D$15)</f>
        <v>8561.275880268351</v>
      </c>
      <c r="D31" s="201" t="s">
        <v>718</v>
      </c>
      <c r="G31" s="11"/>
    </row>
    <row r="32" spans="1:4" ht="12.75">
      <c r="A32" s="18" t="s">
        <v>715</v>
      </c>
      <c r="B32" s="459"/>
      <c r="C32" s="57">
        <f>G7+((Oppervlaktes!H9*'Exploitatie MFC'!B32)*2!D15)</f>
        <v>17352.439315706502</v>
      </c>
      <c r="D32" s="201" t="s">
        <v>719</v>
      </c>
    </row>
    <row r="33" spans="1:3" ht="12.75">
      <c r="A33" s="18" t="s">
        <v>716</v>
      </c>
      <c r="B33" s="459"/>
      <c r="C33" s="57">
        <f>G8+((Oppervlaktes!H10*'Exploitatie MFC'!B32)*2!D15)</f>
        <v>7221.650040140513</v>
      </c>
    </row>
    <row r="34" spans="1:3" ht="12.75">
      <c r="A34" s="18" t="s">
        <v>88</v>
      </c>
      <c r="B34" s="459"/>
      <c r="C34" s="57">
        <f>J9</f>
        <v>11250.691940941015</v>
      </c>
    </row>
    <row r="35" spans="1:3" ht="12.75">
      <c r="A35" s="18" t="s">
        <v>694</v>
      </c>
      <c r="B35" s="459"/>
      <c r="C35" s="57">
        <f>J10</f>
        <v>783.7061228083222</v>
      </c>
    </row>
    <row r="36" spans="1:3" ht="12.75">
      <c r="A36" s="18" t="s">
        <v>72</v>
      </c>
      <c r="B36" s="459"/>
      <c r="C36" s="57">
        <f>J11</f>
        <v>2093.6149280736613</v>
      </c>
    </row>
    <row r="37" spans="1:3" ht="12.75">
      <c r="A37" s="18" t="s">
        <v>73</v>
      </c>
      <c r="B37" s="459"/>
      <c r="C37" s="57">
        <f>J13</f>
        <v>8411.233168234925</v>
      </c>
    </row>
    <row r="38" spans="1:3" ht="12.75">
      <c r="A38" s="18" t="s">
        <v>275</v>
      </c>
      <c r="B38" s="459"/>
      <c r="C38" s="57">
        <f>J12</f>
        <v>862.0767350891547</v>
      </c>
    </row>
    <row r="39" spans="1:4" ht="13.5" thickBot="1">
      <c r="A39" s="14" t="s">
        <v>717</v>
      </c>
      <c r="B39" s="242"/>
      <c r="C39" s="57">
        <f>G14+G16+('Exploitatie MFC'!C32*2!D15)</f>
        <v>19161.606760180268</v>
      </c>
      <c r="D39" s="201"/>
    </row>
    <row r="40" spans="1:3" ht="14.25" thickBot="1" thickTop="1">
      <c r="A40" s="22"/>
      <c r="B40" s="460"/>
      <c r="C40" s="38">
        <f>SUM(C31:C39)</f>
        <v>75698.29489144273</v>
      </c>
    </row>
    <row r="41" ht="13.5" thickTop="1"/>
  </sheetData>
  <sheetProtection/>
  <printOptions/>
  <pageMargins left="0.6" right="0.63" top="1" bottom="1" header="0.5" footer="0.5"/>
  <pageSetup fitToHeight="1" fitToWidth="1" horizontalDpi="300" verticalDpi="300" orientation="landscape" paperSize="9" scale="86" r:id="rId1"/>
  <headerFooter alignWithMargins="0">
    <oddFooter>&amp;LConceptversie - 20 juni 2007 (Alleen te gebruiken voor interne doeleinden)&amp;RTabblad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van Ginkel</dc:creator>
  <cp:keywords/>
  <dc:description/>
  <cp:lastModifiedBy>Windows-gebruiker</cp:lastModifiedBy>
  <cp:lastPrinted>2007-06-20T13:57:44Z</cp:lastPrinted>
  <dcterms:created xsi:type="dcterms:W3CDTF">2007-01-08T15:39:34Z</dcterms:created>
  <dcterms:modified xsi:type="dcterms:W3CDTF">2011-07-14T15:27:59Z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